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ocaluser\Documents\Riley\Endelige modeller\"/>
    </mc:Choice>
  </mc:AlternateContent>
  <bookViews>
    <workbookView xWindow="0" yWindow="0" windowWidth="28800" windowHeight="12432" tabRatio="900" activeTab="1"/>
  </bookViews>
  <sheets>
    <sheet name="Høstpløyd" sheetId="1" r:id="rId1"/>
    <sheet name="Vårpløyd" sheetId="22" r:id="rId2"/>
    <sheet name="Tilskudd per daa" sheetId="28" r:id="rId3"/>
    <sheet name="Begge total" sheetId="29" r:id="rId4"/>
    <sheet name="Begge laglig" sheetId="30" r:id="rId5"/>
    <sheet name="Merkostnad med vårpløying" sheetId="21" r:id="rId6"/>
  </sheets>
  <externalReferences>
    <externalReference r:id="rId7"/>
  </externalReferences>
  <definedNames>
    <definedName name="__123Graph_A" hidden="1">Høstpløyd!$C$134:$L$134</definedName>
    <definedName name="__123Graph_A1" hidden="1">Høstpløyd!$C$134:$L$134</definedName>
    <definedName name="__123Graph_A2" hidden="1">Høstpløyd!#REF!</definedName>
    <definedName name="__123Graph_B" hidden="1">Høstpløyd!$C$154:$L$154</definedName>
    <definedName name="__123Graph_B1" hidden="1">Høstpløyd!$C$154:$L$154</definedName>
    <definedName name="__123Graph_B2" hidden="1">Høstpløyd!#REF!</definedName>
    <definedName name="__123Graph_C" hidden="1">Høstpløyd!$C$174:$L$174</definedName>
    <definedName name="__123Graph_C1" hidden="1">Høstpløyd!$C$174:$L$174</definedName>
    <definedName name="__123Graph_X" hidden="1">Høstpløyd!$C$117:$L$117</definedName>
    <definedName name="__123Graph_X1" hidden="1">Høstpløyd!$C$117:$L$117</definedName>
    <definedName name="__123Graph_X2" hidden="1">Høstpløyd!$C$117:$L$117</definedName>
    <definedName name="_Regression_Int" localSheetId="0" hidden="1">1</definedName>
    <definedName name="LAG">Høstpløyd!$Y$118:$AA$137</definedName>
    <definedName name="Print_Area_MI" localSheetId="0">Høstpløyd!$A$3:$I$22</definedName>
    <definedName name="_xlnm.Print_Area" localSheetId="0">Høstpløyd!$A$3:$I$22</definedName>
    <definedName name="VED">Høstpløyd!$X$3:$AP$12</definedName>
  </definedNames>
  <calcPr calcId="152511"/>
</workbook>
</file>

<file path=xl/calcChain.xml><?xml version="1.0" encoding="utf-8"?>
<calcChain xmlns="http://schemas.openxmlformats.org/spreadsheetml/2006/main">
  <c r="G8" i="22" l="1"/>
  <c r="H8" i="22"/>
  <c r="I8" i="22"/>
  <c r="I7" i="22"/>
  <c r="H7" i="22"/>
  <c r="G7" i="22"/>
  <c r="M52" i="22" l="1"/>
  <c r="M51" i="22"/>
  <c r="M50" i="22"/>
  <c r="M49" i="22"/>
  <c r="M48" i="22"/>
  <c r="M47" i="22"/>
  <c r="M46" i="22"/>
  <c r="M43" i="22"/>
  <c r="M42" i="22"/>
  <c r="M41" i="22"/>
  <c r="M40" i="22"/>
  <c r="M39" i="22"/>
  <c r="M38" i="22"/>
  <c r="V37" i="22"/>
  <c r="U37" i="22"/>
  <c r="T37" i="22"/>
  <c r="S37" i="22"/>
  <c r="R37" i="22"/>
  <c r="Q37" i="22"/>
  <c r="P37" i="22"/>
  <c r="O37" i="22"/>
  <c r="N37" i="22"/>
  <c r="M37" i="22"/>
  <c r="M34" i="22"/>
  <c r="M33" i="22"/>
  <c r="M32" i="22"/>
  <c r="M31" i="22"/>
  <c r="M30" i="22"/>
  <c r="M29" i="22"/>
  <c r="V28" i="22"/>
  <c r="V46" i="22" s="1"/>
  <c r="V57" i="22" s="1"/>
  <c r="U28" i="22"/>
  <c r="U46" i="22" s="1"/>
  <c r="U57" i="22" s="1"/>
  <c r="T28" i="22"/>
  <c r="T46" i="22" s="1"/>
  <c r="T57" i="22" s="1"/>
  <c r="S28" i="22"/>
  <c r="S46" i="22" s="1"/>
  <c r="S57" i="22" s="1"/>
  <c r="R28" i="22"/>
  <c r="R46" i="22" s="1"/>
  <c r="R57" i="22" s="1"/>
  <c r="Q28" i="22"/>
  <c r="Q46" i="22" s="1"/>
  <c r="Q57" i="22" s="1"/>
  <c r="P28" i="22"/>
  <c r="P46" i="22" s="1"/>
  <c r="P57" i="22" s="1"/>
  <c r="O28" i="22"/>
  <c r="O46" i="22" s="1"/>
  <c r="O57" i="22" s="1"/>
  <c r="N28" i="22"/>
  <c r="N46" i="22" s="1"/>
  <c r="N57" i="22" s="1"/>
  <c r="M28" i="22"/>
  <c r="A272" i="22" l="1"/>
  <c r="A271" i="22"/>
  <c r="A270" i="22"/>
  <c r="A269" i="22"/>
  <c r="E268" i="22"/>
  <c r="A268" i="22"/>
  <c r="K266" i="22"/>
  <c r="J266" i="22"/>
  <c r="I266" i="22"/>
  <c r="H266" i="22"/>
  <c r="G266" i="22"/>
  <c r="F266" i="22"/>
  <c r="E266" i="22"/>
  <c r="D266" i="22"/>
  <c r="C266" i="22"/>
  <c r="A240" i="22"/>
  <c r="A238" i="22"/>
  <c r="A237" i="22"/>
  <c r="A236" i="22"/>
  <c r="A234" i="22"/>
  <c r="A233" i="22"/>
  <c r="J228" i="22"/>
  <c r="G225" i="22"/>
  <c r="F225" i="22"/>
  <c r="E225" i="22"/>
  <c r="D225" i="22"/>
  <c r="C225" i="22"/>
  <c r="A221" i="22"/>
  <c r="A219" i="22"/>
  <c r="A215" i="22"/>
  <c r="E208" i="22"/>
  <c r="A207" i="22"/>
  <c r="A206" i="22"/>
  <c r="G205" i="22"/>
  <c r="F205" i="22"/>
  <c r="E205" i="22"/>
  <c r="D205" i="22"/>
  <c r="C205" i="22"/>
  <c r="K200" i="22"/>
  <c r="J200" i="22"/>
  <c r="I200" i="22"/>
  <c r="H200" i="22"/>
  <c r="G200" i="22"/>
  <c r="F200" i="22"/>
  <c r="E200" i="22"/>
  <c r="D200" i="22"/>
  <c r="C200" i="22"/>
  <c r="A200" i="22"/>
  <c r="A220" i="22" s="1"/>
  <c r="A198" i="22"/>
  <c r="A218" i="22" s="1"/>
  <c r="A197" i="22"/>
  <c r="A217" i="22" s="1"/>
  <c r="A196" i="22"/>
  <c r="A216" i="22" s="1"/>
  <c r="A194" i="22"/>
  <c r="A214" i="22" s="1"/>
  <c r="A193" i="22"/>
  <c r="A213" i="22" s="1"/>
  <c r="A192" i="22"/>
  <c r="A212" i="22" s="1"/>
  <c r="A191" i="22"/>
  <c r="A211" i="22" s="1"/>
  <c r="A190" i="22"/>
  <c r="A210" i="22" s="1"/>
  <c r="A189" i="22"/>
  <c r="A209" i="22" s="1"/>
  <c r="A188" i="22"/>
  <c r="A208" i="22" s="1"/>
  <c r="G185" i="22"/>
  <c r="F185" i="22"/>
  <c r="E185" i="22"/>
  <c r="D185" i="22"/>
  <c r="C185" i="22"/>
  <c r="G162" i="22"/>
  <c r="G292" i="22" s="1"/>
  <c r="K159" i="22"/>
  <c r="K289" i="22" s="1"/>
  <c r="J159" i="22"/>
  <c r="J289" i="22" s="1"/>
  <c r="I159" i="22"/>
  <c r="I289" i="22" s="1"/>
  <c r="H159" i="22"/>
  <c r="H289" i="22" s="1"/>
  <c r="G159" i="22"/>
  <c r="G289" i="22" s="1"/>
  <c r="F159" i="22"/>
  <c r="F289" i="22" s="1"/>
  <c r="E159" i="22"/>
  <c r="E289" i="22" s="1"/>
  <c r="D159" i="22"/>
  <c r="D289" i="22" s="1"/>
  <c r="C159" i="22"/>
  <c r="C289" i="22" s="1"/>
  <c r="K158" i="22"/>
  <c r="J158" i="22"/>
  <c r="J288" i="22" s="1"/>
  <c r="I158" i="22"/>
  <c r="I288" i="22" s="1"/>
  <c r="H158" i="22"/>
  <c r="H288" i="22" s="1"/>
  <c r="G158" i="22"/>
  <c r="F158" i="22"/>
  <c r="F288" i="22" s="1"/>
  <c r="E158" i="22"/>
  <c r="E288" i="22" s="1"/>
  <c r="D158" i="22"/>
  <c r="D288" i="22" s="1"/>
  <c r="C158" i="22"/>
  <c r="F140" i="22"/>
  <c r="K139" i="22"/>
  <c r="K269" i="22" s="1"/>
  <c r="J139" i="22"/>
  <c r="J269" i="22" s="1"/>
  <c r="I139" i="22"/>
  <c r="I269" i="22" s="1"/>
  <c r="H139" i="22"/>
  <c r="H269" i="22" s="1"/>
  <c r="G139" i="22"/>
  <c r="G269" i="22" s="1"/>
  <c r="F139" i="22"/>
  <c r="F269" i="22" s="1"/>
  <c r="E139" i="22"/>
  <c r="E269" i="22" s="1"/>
  <c r="D139" i="22"/>
  <c r="D269" i="22" s="1"/>
  <c r="C139" i="22"/>
  <c r="C269" i="22" s="1"/>
  <c r="K138" i="22"/>
  <c r="K268" i="22" s="1"/>
  <c r="J138" i="22"/>
  <c r="J268" i="22" s="1"/>
  <c r="I138" i="22"/>
  <c r="I268" i="22" s="1"/>
  <c r="H138" i="22"/>
  <c r="G138" i="22"/>
  <c r="G268" i="22" s="1"/>
  <c r="F138" i="22"/>
  <c r="F268" i="22" s="1"/>
  <c r="E138" i="22"/>
  <c r="D138" i="22"/>
  <c r="C138" i="22"/>
  <c r="C268" i="22" s="1"/>
  <c r="I126" i="22"/>
  <c r="I256" i="22" s="1"/>
  <c r="K119" i="22"/>
  <c r="K249" i="22" s="1"/>
  <c r="J119" i="22"/>
  <c r="J249" i="22" s="1"/>
  <c r="I119" i="22"/>
  <c r="I249" i="22" s="1"/>
  <c r="H119" i="22"/>
  <c r="H249" i="22" s="1"/>
  <c r="G119" i="22"/>
  <c r="G249" i="22" s="1"/>
  <c r="F119" i="22"/>
  <c r="F249" i="22" s="1"/>
  <c r="E119" i="22"/>
  <c r="E249" i="22" s="1"/>
  <c r="D119" i="22"/>
  <c r="D249" i="22" s="1"/>
  <c r="C119" i="22"/>
  <c r="C249" i="22" s="1"/>
  <c r="K118" i="22"/>
  <c r="K248" i="22" s="1"/>
  <c r="J118" i="22"/>
  <c r="J248" i="22" s="1"/>
  <c r="I118" i="22"/>
  <c r="H118" i="22"/>
  <c r="H248" i="22" s="1"/>
  <c r="G118" i="22"/>
  <c r="G248" i="22" s="1"/>
  <c r="F118" i="22"/>
  <c r="F248" i="22" s="1"/>
  <c r="E118" i="22"/>
  <c r="D118" i="22"/>
  <c r="D248" i="22" s="1"/>
  <c r="C118" i="22"/>
  <c r="C248" i="22" s="1"/>
  <c r="A110" i="22"/>
  <c r="A108" i="22"/>
  <c r="A107" i="22"/>
  <c r="A106" i="22"/>
  <c r="A105" i="22"/>
  <c r="A104" i="22"/>
  <c r="K103" i="22"/>
  <c r="K233" i="22" s="1"/>
  <c r="J103" i="22"/>
  <c r="J233" i="22" s="1"/>
  <c r="G103" i="22"/>
  <c r="G233" i="22" s="1"/>
  <c r="F103" i="22"/>
  <c r="F233" i="22" s="1"/>
  <c r="C103" i="22"/>
  <c r="C233" i="22" s="1"/>
  <c r="A103" i="22"/>
  <c r="A102" i="22"/>
  <c r="A101" i="22"/>
  <c r="A100" i="22"/>
  <c r="K99" i="22"/>
  <c r="K229" i="22" s="1"/>
  <c r="J99" i="22"/>
  <c r="J229" i="22" s="1"/>
  <c r="I99" i="22"/>
  <c r="I229" i="22" s="1"/>
  <c r="H99" i="22"/>
  <c r="H229" i="22" s="1"/>
  <c r="G99" i="22"/>
  <c r="G229" i="22" s="1"/>
  <c r="F99" i="22"/>
  <c r="F229" i="22" s="1"/>
  <c r="E99" i="22"/>
  <c r="E229" i="22" s="1"/>
  <c r="D99" i="22"/>
  <c r="D229" i="22" s="1"/>
  <c r="C99" i="22"/>
  <c r="C229" i="22" s="1"/>
  <c r="A99" i="22"/>
  <c r="K98" i="22"/>
  <c r="K228" i="22" s="1"/>
  <c r="J98" i="22"/>
  <c r="I98" i="22"/>
  <c r="H98" i="22"/>
  <c r="H228" i="22" s="1"/>
  <c r="G98" i="22"/>
  <c r="G228" i="22" s="1"/>
  <c r="F98" i="22"/>
  <c r="F228" i="22" s="1"/>
  <c r="E98" i="22"/>
  <c r="D98" i="22"/>
  <c r="D228" i="22" s="1"/>
  <c r="C98" i="22"/>
  <c r="C228" i="22" s="1"/>
  <c r="A98" i="22"/>
  <c r="A90" i="22"/>
  <c r="A88" i="22"/>
  <c r="A87" i="22"/>
  <c r="A86" i="22"/>
  <c r="A85" i="22"/>
  <c r="A84" i="22"/>
  <c r="K83" i="22"/>
  <c r="K213" i="22" s="1"/>
  <c r="H83" i="22"/>
  <c r="H213" i="22" s="1"/>
  <c r="G83" i="22"/>
  <c r="G213" i="22" s="1"/>
  <c r="D83" i="22"/>
  <c r="D213" i="22" s="1"/>
  <c r="C83" i="22"/>
  <c r="C213" i="22" s="1"/>
  <c r="A83" i="22"/>
  <c r="A82" i="22"/>
  <c r="A81" i="22"/>
  <c r="A80" i="22"/>
  <c r="K79" i="22"/>
  <c r="K209" i="22" s="1"/>
  <c r="J79" i="22"/>
  <c r="J209" i="22" s="1"/>
  <c r="I79" i="22"/>
  <c r="I209" i="22" s="1"/>
  <c r="H79" i="22"/>
  <c r="H209" i="22" s="1"/>
  <c r="G79" i="22"/>
  <c r="G209" i="22" s="1"/>
  <c r="F79" i="22"/>
  <c r="F209" i="22" s="1"/>
  <c r="E79" i="22"/>
  <c r="E209" i="22" s="1"/>
  <c r="D79" i="22"/>
  <c r="D209" i="22" s="1"/>
  <c r="C79" i="22"/>
  <c r="C209" i="22" s="1"/>
  <c r="A79" i="22"/>
  <c r="K78" i="22"/>
  <c r="K208" i="22" s="1"/>
  <c r="J78" i="22"/>
  <c r="I78" i="22"/>
  <c r="H78" i="22"/>
  <c r="H208" i="22" s="1"/>
  <c r="G78" i="22"/>
  <c r="G208" i="22" s="1"/>
  <c r="F78" i="22"/>
  <c r="E78" i="22"/>
  <c r="D78" i="22"/>
  <c r="D208" i="22" s="1"/>
  <c r="C78" i="22"/>
  <c r="C208" i="22" s="1"/>
  <c r="A78" i="22"/>
  <c r="J63" i="22"/>
  <c r="J193" i="22" s="1"/>
  <c r="F63" i="22"/>
  <c r="F193" i="22" s="1"/>
  <c r="K62" i="22"/>
  <c r="K192" i="22" s="1"/>
  <c r="C62" i="22"/>
  <c r="C192" i="22" s="1"/>
  <c r="K59" i="22"/>
  <c r="K189" i="22" s="1"/>
  <c r="J59" i="22"/>
  <c r="J189" i="22" s="1"/>
  <c r="I59" i="22"/>
  <c r="I189" i="22" s="1"/>
  <c r="H59" i="22"/>
  <c r="H189" i="22" s="1"/>
  <c r="G59" i="22"/>
  <c r="G189" i="22" s="1"/>
  <c r="F59" i="22"/>
  <c r="F189" i="22" s="1"/>
  <c r="E59" i="22"/>
  <c r="E189" i="22" s="1"/>
  <c r="D59" i="22"/>
  <c r="D189" i="22" s="1"/>
  <c r="C59" i="22"/>
  <c r="C189" i="22" s="1"/>
  <c r="K58" i="22"/>
  <c r="K63" i="22" s="1"/>
  <c r="K193" i="22" s="1"/>
  <c r="J58" i="22"/>
  <c r="J188" i="22" s="1"/>
  <c r="I58" i="22"/>
  <c r="I188" i="22" s="1"/>
  <c r="H58" i="22"/>
  <c r="G58" i="22"/>
  <c r="F58" i="22"/>
  <c r="F188" i="22" s="1"/>
  <c r="E58" i="22"/>
  <c r="E63" i="22" s="1"/>
  <c r="E193" i="22" s="1"/>
  <c r="D58" i="22"/>
  <c r="C58" i="22"/>
  <c r="C63" i="22" s="1"/>
  <c r="C193" i="22" s="1"/>
  <c r="K46" i="22"/>
  <c r="J46" i="22"/>
  <c r="I46" i="22"/>
  <c r="H46" i="22"/>
  <c r="G46" i="22"/>
  <c r="F46" i="22"/>
  <c r="E46" i="22"/>
  <c r="D46" i="22"/>
  <c r="C46" i="22"/>
  <c r="K37" i="22"/>
  <c r="J37" i="22"/>
  <c r="I37" i="22"/>
  <c r="H37" i="22"/>
  <c r="G37" i="22"/>
  <c r="F37" i="22"/>
  <c r="E37" i="22"/>
  <c r="D37" i="22"/>
  <c r="C37" i="22"/>
  <c r="D23" i="22"/>
  <c r="K132" i="22" s="1"/>
  <c r="I11" i="22"/>
  <c r="I10" i="22"/>
  <c r="H10" i="22"/>
  <c r="G10" i="22"/>
  <c r="E122" i="22" s="1"/>
  <c r="E252" i="22" s="1"/>
  <c r="I9" i="22"/>
  <c r="C101" i="22" s="1"/>
  <c r="C231" i="22" s="1"/>
  <c r="H9" i="22"/>
  <c r="G9" i="22"/>
  <c r="E100" i="22"/>
  <c r="E230" i="22" s="1"/>
  <c r="E60" i="22"/>
  <c r="I5" i="22"/>
  <c r="H5" i="22"/>
  <c r="G5" i="22"/>
  <c r="A272" i="1"/>
  <c r="A271" i="1"/>
  <c r="A270" i="1"/>
  <c r="A269" i="1"/>
  <c r="A268" i="1"/>
  <c r="K266" i="1"/>
  <c r="J266" i="1"/>
  <c r="I266" i="1"/>
  <c r="H266" i="1"/>
  <c r="G266" i="1"/>
  <c r="F266" i="1"/>
  <c r="E266" i="1"/>
  <c r="D266" i="1"/>
  <c r="C266" i="1"/>
  <c r="F262" i="1"/>
  <c r="A240" i="1"/>
  <c r="A238" i="1"/>
  <c r="A237" i="1"/>
  <c r="A236" i="1"/>
  <c r="A234" i="1"/>
  <c r="A233" i="1"/>
  <c r="G228" i="1"/>
  <c r="G225" i="1"/>
  <c r="F225" i="1"/>
  <c r="E225" i="1"/>
  <c r="D225" i="1"/>
  <c r="C225" i="1"/>
  <c r="A221" i="1"/>
  <c r="A220" i="1"/>
  <c r="A219" i="1"/>
  <c r="A218" i="1"/>
  <c r="A217" i="1"/>
  <c r="A216" i="1"/>
  <c r="A215" i="1"/>
  <c r="A208" i="1"/>
  <c r="A207" i="1"/>
  <c r="A206" i="1"/>
  <c r="G205" i="1"/>
  <c r="F205" i="1"/>
  <c r="E205" i="1"/>
  <c r="D205" i="1"/>
  <c r="C205" i="1"/>
  <c r="K200" i="1"/>
  <c r="J200" i="1"/>
  <c r="I200" i="1"/>
  <c r="H200" i="1"/>
  <c r="G200" i="1"/>
  <c r="F200" i="1"/>
  <c r="E200" i="1"/>
  <c r="D200" i="1"/>
  <c r="C200" i="1"/>
  <c r="A200" i="1"/>
  <c r="A198" i="1"/>
  <c r="A197" i="1"/>
  <c r="A196" i="1"/>
  <c r="A194" i="1"/>
  <c r="A214" i="1" s="1"/>
  <c r="A193" i="1"/>
  <c r="A213" i="1" s="1"/>
  <c r="A192" i="1"/>
  <c r="A212" i="1" s="1"/>
  <c r="A191" i="1"/>
  <c r="A211" i="1" s="1"/>
  <c r="A190" i="1"/>
  <c r="A210" i="1" s="1"/>
  <c r="H189" i="1"/>
  <c r="A189" i="1"/>
  <c r="A209" i="1" s="1"/>
  <c r="A188" i="1"/>
  <c r="G185" i="1"/>
  <c r="F185" i="1"/>
  <c r="E185" i="1"/>
  <c r="D185" i="1"/>
  <c r="C185" i="1"/>
  <c r="K159" i="1"/>
  <c r="K289" i="1" s="1"/>
  <c r="J159" i="1"/>
  <c r="J289" i="1" s="1"/>
  <c r="I159" i="1"/>
  <c r="I289" i="1" s="1"/>
  <c r="H159" i="1"/>
  <c r="H289" i="1" s="1"/>
  <c r="G159" i="1"/>
  <c r="G289" i="1" s="1"/>
  <c r="F159" i="1"/>
  <c r="F289" i="1" s="1"/>
  <c r="E159" i="1"/>
  <c r="E289" i="1" s="1"/>
  <c r="D159" i="1"/>
  <c r="D289" i="1" s="1"/>
  <c r="C159" i="1"/>
  <c r="C289" i="1" s="1"/>
  <c r="K158" i="1"/>
  <c r="J158" i="1"/>
  <c r="J288" i="1" s="1"/>
  <c r="I158" i="1"/>
  <c r="I288" i="1" s="1"/>
  <c r="H158" i="1"/>
  <c r="G158" i="1"/>
  <c r="F158" i="1"/>
  <c r="F288" i="1" s="1"/>
  <c r="E158" i="1"/>
  <c r="E288" i="1" s="1"/>
  <c r="D158" i="1"/>
  <c r="D288" i="1" s="1"/>
  <c r="C158" i="1"/>
  <c r="F142" i="1"/>
  <c r="F272" i="1" s="1"/>
  <c r="H140" i="1"/>
  <c r="K139" i="1"/>
  <c r="K269" i="1" s="1"/>
  <c r="J139" i="1"/>
  <c r="J269" i="1" s="1"/>
  <c r="I139" i="1"/>
  <c r="I269" i="1" s="1"/>
  <c r="H139" i="1"/>
  <c r="H269" i="1" s="1"/>
  <c r="G139" i="1"/>
  <c r="G269" i="1" s="1"/>
  <c r="F139" i="1"/>
  <c r="F269" i="1" s="1"/>
  <c r="E139" i="1"/>
  <c r="E269" i="1" s="1"/>
  <c r="D139" i="1"/>
  <c r="D269" i="1" s="1"/>
  <c r="C139" i="1"/>
  <c r="C269" i="1" s="1"/>
  <c r="K138" i="1"/>
  <c r="K268" i="1" s="1"/>
  <c r="J138" i="1"/>
  <c r="I138" i="1"/>
  <c r="I268" i="1" s="1"/>
  <c r="H138" i="1"/>
  <c r="H268" i="1" s="1"/>
  <c r="G138" i="1"/>
  <c r="G268" i="1" s="1"/>
  <c r="F138" i="1"/>
  <c r="E138" i="1"/>
  <c r="E268" i="1" s="1"/>
  <c r="D138" i="1"/>
  <c r="D268" i="1" s="1"/>
  <c r="C138" i="1"/>
  <c r="C268" i="1" s="1"/>
  <c r="C126" i="1"/>
  <c r="C256" i="1" s="1"/>
  <c r="G122" i="1"/>
  <c r="G252" i="1" s="1"/>
  <c r="K119" i="1"/>
  <c r="K249" i="1" s="1"/>
  <c r="J119" i="1"/>
  <c r="J249" i="1" s="1"/>
  <c r="I119" i="1"/>
  <c r="I249" i="1" s="1"/>
  <c r="H119" i="1"/>
  <c r="H249" i="1" s="1"/>
  <c r="G119" i="1"/>
  <c r="G249" i="1" s="1"/>
  <c r="F119" i="1"/>
  <c r="F249" i="1" s="1"/>
  <c r="E119" i="1"/>
  <c r="E249" i="1" s="1"/>
  <c r="D119" i="1"/>
  <c r="D249" i="1" s="1"/>
  <c r="C119" i="1"/>
  <c r="C249" i="1" s="1"/>
  <c r="K118" i="1"/>
  <c r="J118" i="1"/>
  <c r="J248" i="1" s="1"/>
  <c r="I118" i="1"/>
  <c r="I248" i="1" s="1"/>
  <c r="H118" i="1"/>
  <c r="H248" i="1" s="1"/>
  <c r="G118" i="1"/>
  <c r="F118" i="1"/>
  <c r="F248" i="1" s="1"/>
  <c r="E118" i="1"/>
  <c r="E248" i="1" s="1"/>
  <c r="D118" i="1"/>
  <c r="D248" i="1" s="1"/>
  <c r="C118" i="1"/>
  <c r="A110" i="1"/>
  <c r="A108" i="1"/>
  <c r="A107" i="1"/>
  <c r="A106" i="1"/>
  <c r="A105" i="1"/>
  <c r="A104" i="1"/>
  <c r="I103" i="1"/>
  <c r="I233" i="1" s="1"/>
  <c r="E103" i="1"/>
  <c r="E233" i="1" s="1"/>
  <c r="A103" i="1"/>
  <c r="A102" i="1"/>
  <c r="A101" i="1"/>
  <c r="A100" i="1"/>
  <c r="K99" i="1"/>
  <c r="K229" i="1" s="1"/>
  <c r="J99" i="1"/>
  <c r="J229" i="1" s="1"/>
  <c r="I99" i="1"/>
  <c r="I229" i="1" s="1"/>
  <c r="H99" i="1"/>
  <c r="H229" i="1" s="1"/>
  <c r="G99" i="1"/>
  <c r="G229" i="1" s="1"/>
  <c r="F99" i="1"/>
  <c r="F229" i="1" s="1"/>
  <c r="E99" i="1"/>
  <c r="E229" i="1" s="1"/>
  <c r="D99" i="1"/>
  <c r="D229" i="1" s="1"/>
  <c r="C99" i="1"/>
  <c r="C229" i="1" s="1"/>
  <c r="A99" i="1"/>
  <c r="K98" i="1"/>
  <c r="J98" i="1"/>
  <c r="J228" i="1" s="1"/>
  <c r="I98" i="1"/>
  <c r="I228" i="1" s="1"/>
  <c r="H98" i="1"/>
  <c r="H228" i="1" s="1"/>
  <c r="G98" i="1"/>
  <c r="F98" i="1"/>
  <c r="F228" i="1" s="1"/>
  <c r="E98" i="1"/>
  <c r="E228" i="1" s="1"/>
  <c r="D98" i="1"/>
  <c r="D228" i="1" s="1"/>
  <c r="C98" i="1"/>
  <c r="A98" i="1"/>
  <c r="A90" i="1"/>
  <c r="A88" i="1"/>
  <c r="A87" i="1"/>
  <c r="A86" i="1"/>
  <c r="A85" i="1"/>
  <c r="A84" i="1"/>
  <c r="K83" i="1"/>
  <c r="K213" i="1" s="1"/>
  <c r="H83" i="1"/>
  <c r="H213" i="1" s="1"/>
  <c r="G83" i="1"/>
  <c r="G213" i="1" s="1"/>
  <c r="D83" i="1"/>
  <c r="D213" i="1" s="1"/>
  <c r="C83" i="1"/>
  <c r="C213" i="1" s="1"/>
  <c r="A83" i="1"/>
  <c r="I82" i="1"/>
  <c r="I212" i="1" s="1"/>
  <c r="E82" i="1"/>
  <c r="E212" i="1" s="1"/>
  <c r="A82" i="1"/>
  <c r="A81" i="1"/>
  <c r="I80" i="1"/>
  <c r="I210" i="1" s="1"/>
  <c r="E80" i="1"/>
  <c r="E210" i="1" s="1"/>
  <c r="A80" i="1"/>
  <c r="K79" i="1"/>
  <c r="K209" i="1" s="1"/>
  <c r="J79" i="1"/>
  <c r="J209" i="1" s="1"/>
  <c r="I79" i="1"/>
  <c r="I209" i="1" s="1"/>
  <c r="H79" i="1"/>
  <c r="H209" i="1" s="1"/>
  <c r="G79" i="1"/>
  <c r="G209" i="1" s="1"/>
  <c r="F79" i="1"/>
  <c r="F209" i="1" s="1"/>
  <c r="E79" i="1"/>
  <c r="E209" i="1" s="1"/>
  <c r="D79" i="1"/>
  <c r="D209" i="1" s="1"/>
  <c r="C79" i="1"/>
  <c r="C209" i="1" s="1"/>
  <c r="A79" i="1"/>
  <c r="K78" i="1"/>
  <c r="J78" i="1"/>
  <c r="I78" i="1"/>
  <c r="I208" i="1" s="1"/>
  <c r="H78" i="1"/>
  <c r="G78" i="1"/>
  <c r="F78" i="1"/>
  <c r="E78" i="1"/>
  <c r="E208" i="1" s="1"/>
  <c r="D78" i="1"/>
  <c r="C78" i="1"/>
  <c r="C208" i="1" s="1"/>
  <c r="A78" i="1"/>
  <c r="J63" i="1"/>
  <c r="J193" i="1" s="1"/>
  <c r="F63" i="1"/>
  <c r="F193" i="1" s="1"/>
  <c r="K62" i="1"/>
  <c r="K192" i="1" s="1"/>
  <c r="G62" i="1"/>
  <c r="G192" i="1" s="1"/>
  <c r="C62" i="1"/>
  <c r="C192" i="1" s="1"/>
  <c r="H61" i="1"/>
  <c r="H191" i="1" s="1"/>
  <c r="D61" i="1"/>
  <c r="D191" i="1" s="1"/>
  <c r="K59" i="1"/>
  <c r="K189" i="1" s="1"/>
  <c r="J59" i="1"/>
  <c r="J189" i="1" s="1"/>
  <c r="I59" i="1"/>
  <c r="I189" i="1" s="1"/>
  <c r="H59" i="1"/>
  <c r="G59" i="1"/>
  <c r="G189" i="1" s="1"/>
  <c r="F59" i="1"/>
  <c r="F189" i="1" s="1"/>
  <c r="E59" i="1"/>
  <c r="E189" i="1" s="1"/>
  <c r="D59" i="1"/>
  <c r="D189" i="1" s="1"/>
  <c r="C59" i="1"/>
  <c r="C189" i="1" s="1"/>
  <c r="K58" i="1"/>
  <c r="K188" i="1" s="1"/>
  <c r="J58" i="1"/>
  <c r="J188" i="1" s="1"/>
  <c r="I58" i="1"/>
  <c r="I188" i="1" s="1"/>
  <c r="H58" i="1"/>
  <c r="H188" i="1" s="1"/>
  <c r="G58" i="1"/>
  <c r="G188" i="1" s="1"/>
  <c r="F58" i="1"/>
  <c r="F188" i="1" s="1"/>
  <c r="E58" i="1"/>
  <c r="E188" i="1" s="1"/>
  <c r="D58" i="1"/>
  <c r="C58" i="1"/>
  <c r="C188" i="1" s="1"/>
  <c r="K46" i="1"/>
  <c r="J46" i="1"/>
  <c r="I46" i="1"/>
  <c r="H46" i="1"/>
  <c r="G46" i="1"/>
  <c r="F46" i="1"/>
  <c r="E46" i="1"/>
  <c r="D46" i="1"/>
  <c r="C46" i="1"/>
  <c r="K37" i="1"/>
  <c r="J37" i="1"/>
  <c r="I37" i="1"/>
  <c r="H37" i="1"/>
  <c r="G37" i="1"/>
  <c r="F37" i="1"/>
  <c r="E37" i="1"/>
  <c r="D37" i="1"/>
  <c r="C37" i="1"/>
  <c r="D23" i="1"/>
  <c r="E152" i="1" s="1"/>
  <c r="I10" i="1"/>
  <c r="K162" i="1" s="1"/>
  <c r="K292" i="1" s="1"/>
  <c r="H10" i="1"/>
  <c r="J146" i="1" s="1"/>
  <c r="J276" i="1" s="1"/>
  <c r="G10" i="1"/>
  <c r="K126" i="1" s="1"/>
  <c r="K256" i="1" s="1"/>
  <c r="I9" i="1"/>
  <c r="E101" i="1" s="1"/>
  <c r="E231" i="1" s="1"/>
  <c r="H9" i="1"/>
  <c r="G141" i="1" s="1"/>
  <c r="G271" i="1" s="1"/>
  <c r="G9" i="1"/>
  <c r="H121" i="1" s="1"/>
  <c r="H251" i="1" s="1"/>
  <c r="I8" i="1"/>
  <c r="H160" i="1" s="1"/>
  <c r="H290" i="1" s="1"/>
  <c r="H8" i="1"/>
  <c r="K80" i="1" s="1"/>
  <c r="K210" i="1" s="1"/>
  <c r="G8" i="1"/>
  <c r="I5" i="1"/>
  <c r="H5" i="1"/>
  <c r="G5" i="1"/>
  <c r="I121" i="22" l="1"/>
  <c r="I251" i="22" s="1"/>
  <c r="E121" i="22"/>
  <c r="E251" i="22" s="1"/>
  <c r="H121" i="22"/>
  <c r="H251" i="22" s="1"/>
  <c r="D121" i="22"/>
  <c r="D251" i="22" s="1"/>
  <c r="K61" i="22"/>
  <c r="K191" i="22" s="1"/>
  <c r="G61" i="22"/>
  <c r="G191" i="22" s="1"/>
  <c r="C61" i="22"/>
  <c r="C191" i="22" s="1"/>
  <c r="K121" i="22"/>
  <c r="K251" i="22" s="1"/>
  <c r="G121" i="22"/>
  <c r="G251" i="22" s="1"/>
  <c r="C121" i="22"/>
  <c r="C251" i="22" s="1"/>
  <c r="J61" i="22"/>
  <c r="J191" i="22" s="1"/>
  <c r="F61" i="22"/>
  <c r="F191" i="22" s="1"/>
  <c r="K146" i="22"/>
  <c r="K276" i="22" s="1"/>
  <c r="G146" i="22"/>
  <c r="G276" i="22" s="1"/>
  <c r="C146" i="22"/>
  <c r="C276" i="22" s="1"/>
  <c r="K142" i="22"/>
  <c r="K272" i="22" s="1"/>
  <c r="G142" i="22"/>
  <c r="G272" i="22" s="1"/>
  <c r="C142" i="22"/>
  <c r="C272" i="22" s="1"/>
  <c r="J146" i="22"/>
  <c r="J276" i="22" s="1"/>
  <c r="F146" i="22"/>
  <c r="F276" i="22" s="1"/>
  <c r="J142" i="22"/>
  <c r="J272" i="22" s="1"/>
  <c r="F142" i="22"/>
  <c r="F272" i="22" s="1"/>
  <c r="I146" i="22"/>
  <c r="I276" i="22" s="1"/>
  <c r="E146" i="22"/>
  <c r="E276" i="22" s="1"/>
  <c r="I142" i="22"/>
  <c r="I272" i="22" s="1"/>
  <c r="E142" i="22"/>
  <c r="E272" i="22" s="1"/>
  <c r="I82" i="22"/>
  <c r="I212" i="22" s="1"/>
  <c r="E82" i="22"/>
  <c r="E212" i="22" s="1"/>
  <c r="H146" i="22"/>
  <c r="H276" i="22" s="1"/>
  <c r="H82" i="22"/>
  <c r="H212" i="22" s="1"/>
  <c r="D82" i="22"/>
  <c r="D212" i="22" s="1"/>
  <c r="D146" i="22"/>
  <c r="D276" i="22" s="1"/>
  <c r="H142" i="22"/>
  <c r="H272" i="22" s="1"/>
  <c r="K82" i="22"/>
  <c r="K212" i="22" s="1"/>
  <c r="G82" i="22"/>
  <c r="G212" i="22" s="1"/>
  <c r="C82" i="22"/>
  <c r="C212" i="22" s="1"/>
  <c r="D61" i="22"/>
  <c r="D191" i="22" s="1"/>
  <c r="F82" i="22"/>
  <c r="F212" i="22" s="1"/>
  <c r="I228" i="22"/>
  <c r="I103" i="22"/>
  <c r="I233" i="22" s="1"/>
  <c r="J120" i="22"/>
  <c r="F120" i="22"/>
  <c r="I120" i="22"/>
  <c r="I250" i="22" s="1"/>
  <c r="E120" i="22"/>
  <c r="E250" i="22" s="1"/>
  <c r="H60" i="22"/>
  <c r="H190" i="22" s="1"/>
  <c r="D60" i="22"/>
  <c r="D190" i="22" s="1"/>
  <c r="H120" i="22"/>
  <c r="H250" i="22" s="1"/>
  <c r="D120" i="22"/>
  <c r="D250" i="22" s="1"/>
  <c r="K60" i="22"/>
  <c r="K190" i="22" s="1"/>
  <c r="G60" i="22"/>
  <c r="G190" i="22" s="1"/>
  <c r="C60" i="22"/>
  <c r="C190" i="22" s="1"/>
  <c r="H141" i="22"/>
  <c r="H271" i="22" s="1"/>
  <c r="D141" i="22"/>
  <c r="D271" i="22" s="1"/>
  <c r="K141" i="22"/>
  <c r="K271" i="22" s="1"/>
  <c r="G141" i="22"/>
  <c r="G271" i="22" s="1"/>
  <c r="C141" i="22"/>
  <c r="C271" i="22" s="1"/>
  <c r="J141" i="22"/>
  <c r="J271" i="22" s="1"/>
  <c r="F141" i="22"/>
  <c r="F271" i="22" s="1"/>
  <c r="I141" i="22"/>
  <c r="I271" i="22" s="1"/>
  <c r="K81" i="22"/>
  <c r="K211" i="22" s="1"/>
  <c r="G81" i="22"/>
  <c r="G211" i="22" s="1"/>
  <c r="C81" i="22"/>
  <c r="C211" i="22" s="1"/>
  <c r="E141" i="22"/>
  <c r="E271" i="22" s="1"/>
  <c r="J81" i="22"/>
  <c r="J211" i="22" s="1"/>
  <c r="F81" i="22"/>
  <c r="F211" i="22" s="1"/>
  <c r="I81" i="22"/>
  <c r="I211" i="22" s="1"/>
  <c r="E81" i="22"/>
  <c r="E211" i="22" s="1"/>
  <c r="J166" i="22"/>
  <c r="J296" i="22" s="1"/>
  <c r="F166" i="22"/>
  <c r="F296" i="22" s="1"/>
  <c r="J162" i="22"/>
  <c r="J292" i="22" s="1"/>
  <c r="F162" i="22"/>
  <c r="F292" i="22" s="1"/>
  <c r="I166" i="22"/>
  <c r="I296" i="22" s="1"/>
  <c r="E166" i="22"/>
  <c r="E296" i="22" s="1"/>
  <c r="I162" i="22"/>
  <c r="I292" i="22" s="1"/>
  <c r="E162" i="22"/>
  <c r="E292" i="22" s="1"/>
  <c r="H166" i="22"/>
  <c r="H296" i="22" s="1"/>
  <c r="D166" i="22"/>
  <c r="D296" i="22" s="1"/>
  <c r="H162" i="22"/>
  <c r="H292" i="22" s="1"/>
  <c r="D162" i="22"/>
  <c r="D292" i="22" s="1"/>
  <c r="C162" i="22"/>
  <c r="C292" i="22" s="1"/>
  <c r="H102" i="22"/>
  <c r="H232" i="22" s="1"/>
  <c r="D102" i="22"/>
  <c r="D232" i="22" s="1"/>
  <c r="K166" i="22"/>
  <c r="K296" i="22" s="1"/>
  <c r="K102" i="22"/>
  <c r="K232" i="22" s="1"/>
  <c r="G102" i="22"/>
  <c r="G232" i="22" s="1"/>
  <c r="C102" i="22"/>
  <c r="C232" i="22" s="1"/>
  <c r="G166" i="22"/>
  <c r="G296" i="22" s="1"/>
  <c r="K162" i="22"/>
  <c r="K292" i="22" s="1"/>
  <c r="J102" i="22"/>
  <c r="J232" i="22" s="1"/>
  <c r="F102" i="22"/>
  <c r="F232" i="22" s="1"/>
  <c r="G12" i="22"/>
  <c r="F60" i="22"/>
  <c r="F190" i="22" s="1"/>
  <c r="E61" i="22"/>
  <c r="E191" i="22" s="1"/>
  <c r="D62" i="22"/>
  <c r="D192" i="22" s="1"/>
  <c r="F208" i="22"/>
  <c r="F83" i="22"/>
  <c r="F213" i="22" s="1"/>
  <c r="J208" i="22"/>
  <c r="J83" i="22"/>
  <c r="J213" i="22" s="1"/>
  <c r="D81" i="22"/>
  <c r="D211" i="22" s="1"/>
  <c r="J82" i="22"/>
  <c r="J212" i="22" s="1"/>
  <c r="E102" i="22"/>
  <c r="E232" i="22" s="1"/>
  <c r="E248" i="22"/>
  <c r="I248" i="22"/>
  <c r="C120" i="22"/>
  <c r="J121" i="22"/>
  <c r="J251" i="22" s="1"/>
  <c r="G132" i="22"/>
  <c r="D142" i="22"/>
  <c r="D272" i="22" s="1"/>
  <c r="H168" i="22"/>
  <c r="H298" i="22" s="1"/>
  <c r="K168" i="22"/>
  <c r="K298" i="22" s="1"/>
  <c r="G168" i="22"/>
  <c r="G298" i="22" s="1"/>
  <c r="J168" i="22"/>
  <c r="J298" i="22" s="1"/>
  <c r="F168" i="22"/>
  <c r="F298" i="22" s="1"/>
  <c r="I168" i="22"/>
  <c r="I298" i="22" s="1"/>
  <c r="E228" i="22"/>
  <c r="E103" i="22"/>
  <c r="E233" i="22" s="1"/>
  <c r="C132" i="22"/>
  <c r="I140" i="22"/>
  <c r="E140" i="22"/>
  <c r="H140" i="22"/>
  <c r="D140" i="22"/>
  <c r="K140" i="22"/>
  <c r="G140" i="22"/>
  <c r="C140" i="22"/>
  <c r="I80" i="22"/>
  <c r="I84" i="22" s="1"/>
  <c r="E80" i="22"/>
  <c r="E84" i="22" s="1"/>
  <c r="H80" i="22"/>
  <c r="H210" i="22" s="1"/>
  <c r="D80" i="22"/>
  <c r="D210" i="22" s="1"/>
  <c r="J140" i="22"/>
  <c r="K80" i="22"/>
  <c r="K210" i="22" s="1"/>
  <c r="G80" i="22"/>
  <c r="G210" i="22" s="1"/>
  <c r="C80" i="22"/>
  <c r="C210" i="22" s="1"/>
  <c r="K161" i="22"/>
  <c r="K291" i="22" s="1"/>
  <c r="G161" i="22"/>
  <c r="G291" i="22" s="1"/>
  <c r="C161" i="22"/>
  <c r="C291" i="22" s="1"/>
  <c r="J161" i="22"/>
  <c r="J291" i="22" s="1"/>
  <c r="F161" i="22"/>
  <c r="F291" i="22" s="1"/>
  <c r="I161" i="22"/>
  <c r="I291" i="22" s="1"/>
  <c r="E161" i="22"/>
  <c r="E291" i="22" s="1"/>
  <c r="J101" i="22"/>
  <c r="J231" i="22" s="1"/>
  <c r="F101" i="22"/>
  <c r="F231" i="22" s="1"/>
  <c r="H161" i="22"/>
  <c r="H291" i="22" s="1"/>
  <c r="I101" i="22"/>
  <c r="I231" i="22" s="1"/>
  <c r="E101" i="22"/>
  <c r="E231" i="22" s="1"/>
  <c r="D161" i="22"/>
  <c r="D291" i="22" s="1"/>
  <c r="H101" i="22"/>
  <c r="H231" i="22" s="1"/>
  <c r="D101" i="22"/>
  <c r="D231" i="22" s="1"/>
  <c r="G11" i="22"/>
  <c r="H12" i="22"/>
  <c r="C188" i="22"/>
  <c r="C69" i="22"/>
  <c r="C199" i="22" s="1"/>
  <c r="C64" i="22"/>
  <c r="C123" i="22" s="1"/>
  <c r="C253" i="22" s="1"/>
  <c r="G188" i="22"/>
  <c r="K188" i="22"/>
  <c r="K69" i="22"/>
  <c r="K199" i="22" s="1"/>
  <c r="I60" i="22"/>
  <c r="H61" i="22"/>
  <c r="H191" i="22" s="1"/>
  <c r="G62" i="22"/>
  <c r="G192" i="22" s="1"/>
  <c r="F80" i="22"/>
  <c r="F210" i="22" s="1"/>
  <c r="H81" i="22"/>
  <c r="H211" i="22" s="1"/>
  <c r="G101" i="22"/>
  <c r="G231" i="22" s="1"/>
  <c r="I102" i="22"/>
  <c r="I232" i="22" s="1"/>
  <c r="E104" i="22"/>
  <c r="E163" i="22" s="1"/>
  <c r="E293" i="22" s="1"/>
  <c r="G120" i="22"/>
  <c r="C166" i="22"/>
  <c r="C296" i="22" s="1"/>
  <c r="E190" i="22"/>
  <c r="K307" i="22"/>
  <c r="G307" i="22"/>
  <c r="C307" i="22"/>
  <c r="J302" i="22"/>
  <c r="F302" i="22"/>
  <c r="I262" i="22"/>
  <c r="E262" i="22"/>
  <c r="J307" i="22"/>
  <c r="F307" i="22"/>
  <c r="I302" i="22"/>
  <c r="E302" i="22"/>
  <c r="H262" i="22"/>
  <c r="D262" i="22"/>
  <c r="I307" i="22"/>
  <c r="E307" i="22"/>
  <c r="H302" i="22"/>
  <c r="D302" i="22"/>
  <c r="K262" i="22"/>
  <c r="G262" i="22"/>
  <c r="C262" i="22"/>
  <c r="H307" i="22"/>
  <c r="C302" i="22"/>
  <c r="D307" i="22"/>
  <c r="H282" i="22"/>
  <c r="K302" i="22"/>
  <c r="D282" i="22"/>
  <c r="J262" i="22"/>
  <c r="H172" i="22"/>
  <c r="D172" i="22"/>
  <c r="I152" i="22"/>
  <c r="E152" i="22"/>
  <c r="G302" i="22"/>
  <c r="K172" i="22"/>
  <c r="G172" i="22"/>
  <c r="C172" i="22"/>
  <c r="H152" i="22"/>
  <c r="D152" i="22"/>
  <c r="J172" i="22"/>
  <c r="F172" i="22"/>
  <c r="K152" i="22"/>
  <c r="G152" i="22"/>
  <c r="C152" i="22"/>
  <c r="I172" i="22"/>
  <c r="F152" i="22"/>
  <c r="J132" i="22"/>
  <c r="F132" i="22"/>
  <c r="E172" i="22"/>
  <c r="I132" i="22"/>
  <c r="E132" i="22"/>
  <c r="H132" i="22"/>
  <c r="D132" i="22"/>
  <c r="F121" i="22"/>
  <c r="F251" i="22" s="1"/>
  <c r="H160" i="22"/>
  <c r="H290" i="22" s="1"/>
  <c r="D160" i="22"/>
  <c r="D290" i="22" s="1"/>
  <c r="K160" i="22"/>
  <c r="K290" i="22" s="1"/>
  <c r="G160" i="22"/>
  <c r="G290" i="22" s="1"/>
  <c r="C160" i="22"/>
  <c r="C290" i="22" s="1"/>
  <c r="J160" i="22"/>
  <c r="J290" i="22" s="1"/>
  <c r="F160" i="22"/>
  <c r="F290" i="22" s="1"/>
  <c r="E160" i="22"/>
  <c r="H100" i="22"/>
  <c r="D100" i="22"/>
  <c r="D104" i="22" s="1"/>
  <c r="D163" i="22" s="1"/>
  <c r="D293" i="22" s="1"/>
  <c r="K100" i="22"/>
  <c r="K230" i="22" s="1"/>
  <c r="G100" i="22"/>
  <c r="G230" i="22" s="1"/>
  <c r="C100" i="22"/>
  <c r="C230" i="22" s="1"/>
  <c r="J100" i="22"/>
  <c r="J230" i="22" s="1"/>
  <c r="J239" i="22" s="1"/>
  <c r="J240" i="22" s="1"/>
  <c r="F100" i="22"/>
  <c r="F230" i="22" s="1"/>
  <c r="F239" i="22" s="1"/>
  <c r="F240" i="22" s="1"/>
  <c r="H126" i="22"/>
  <c r="H256" i="22" s="1"/>
  <c r="D126" i="22"/>
  <c r="D256" i="22" s="1"/>
  <c r="H122" i="22"/>
  <c r="H252" i="22" s="1"/>
  <c r="D122" i="22"/>
  <c r="D252" i="22" s="1"/>
  <c r="K126" i="22"/>
  <c r="K256" i="22" s="1"/>
  <c r="G126" i="22"/>
  <c r="G256" i="22" s="1"/>
  <c r="C126" i="22"/>
  <c r="C256" i="22" s="1"/>
  <c r="K122" i="22"/>
  <c r="K252" i="22" s="1"/>
  <c r="G122" i="22"/>
  <c r="G252" i="22" s="1"/>
  <c r="C122" i="22"/>
  <c r="C252" i="22" s="1"/>
  <c r="J62" i="22"/>
  <c r="J192" i="22" s="1"/>
  <c r="F62" i="22"/>
  <c r="F192" i="22" s="1"/>
  <c r="J126" i="22"/>
  <c r="J256" i="22" s="1"/>
  <c r="F126" i="22"/>
  <c r="F256" i="22" s="1"/>
  <c r="J122" i="22"/>
  <c r="J252" i="22" s="1"/>
  <c r="F122" i="22"/>
  <c r="F252" i="22" s="1"/>
  <c r="I62" i="22"/>
  <c r="I192" i="22" s="1"/>
  <c r="E62" i="22"/>
  <c r="E192" i="22" s="1"/>
  <c r="H11" i="22"/>
  <c r="I12" i="22"/>
  <c r="D188" i="22"/>
  <c r="D69" i="22"/>
  <c r="D199" i="22" s="1"/>
  <c r="D64" i="22"/>
  <c r="D63" i="22"/>
  <c r="D193" i="22" s="1"/>
  <c r="H188" i="22"/>
  <c r="H63" i="22"/>
  <c r="H193" i="22" s="1"/>
  <c r="J60" i="22"/>
  <c r="J190" i="22" s="1"/>
  <c r="I61" i="22"/>
  <c r="I191" i="22" s="1"/>
  <c r="H62" i="22"/>
  <c r="H192" i="22" s="1"/>
  <c r="G63" i="22"/>
  <c r="G193" i="22" s="1"/>
  <c r="J80" i="22"/>
  <c r="J210" i="22" s="1"/>
  <c r="I100" i="22"/>
  <c r="I230" i="22" s="1"/>
  <c r="K101" i="22"/>
  <c r="K231" i="22" s="1"/>
  <c r="K120" i="22"/>
  <c r="I122" i="22"/>
  <c r="I252" i="22" s="1"/>
  <c r="E126" i="22"/>
  <c r="E256" i="22" s="1"/>
  <c r="J152" i="22"/>
  <c r="I160" i="22"/>
  <c r="F262" i="22"/>
  <c r="J69" i="22"/>
  <c r="J199" i="22" s="1"/>
  <c r="E83" i="22"/>
  <c r="E213" i="22" s="1"/>
  <c r="I83" i="22"/>
  <c r="I213" i="22" s="1"/>
  <c r="G84" i="22"/>
  <c r="K84" i="22"/>
  <c r="K143" i="22" s="1"/>
  <c r="D103" i="22"/>
  <c r="D233" i="22" s="1"/>
  <c r="H103" i="22"/>
  <c r="H233" i="22" s="1"/>
  <c r="C288" i="22"/>
  <c r="G288" i="22"/>
  <c r="K288" i="22"/>
  <c r="E188" i="22"/>
  <c r="I208" i="22"/>
  <c r="I63" i="22"/>
  <c r="I193" i="22" s="1"/>
  <c r="D84" i="22"/>
  <c r="D143" i="22" s="1"/>
  <c r="D273" i="22" s="1"/>
  <c r="H84" i="22"/>
  <c r="K89" i="22"/>
  <c r="K219" i="22" s="1"/>
  <c r="C239" i="22"/>
  <c r="C240" i="22" s="1"/>
  <c r="H89" i="22"/>
  <c r="H219" i="22" s="1"/>
  <c r="D268" i="22"/>
  <c r="H268" i="22"/>
  <c r="E282" i="22"/>
  <c r="I282" i="22"/>
  <c r="F282" i="22"/>
  <c r="J282" i="22"/>
  <c r="C282" i="22"/>
  <c r="G282" i="22"/>
  <c r="K282" i="22"/>
  <c r="H84" i="1"/>
  <c r="H120" i="1"/>
  <c r="H250" i="1" s="1"/>
  <c r="D120" i="1"/>
  <c r="D250" i="1" s="1"/>
  <c r="K120" i="1"/>
  <c r="K250" i="1" s="1"/>
  <c r="G120" i="1"/>
  <c r="G250" i="1" s="1"/>
  <c r="C120" i="1"/>
  <c r="C250" i="1" s="1"/>
  <c r="J120" i="1"/>
  <c r="J250" i="1" s="1"/>
  <c r="F120" i="1"/>
  <c r="F250" i="1" s="1"/>
  <c r="G12" i="1"/>
  <c r="F268" i="1"/>
  <c r="F162" i="1"/>
  <c r="F292" i="1" s="1"/>
  <c r="H12" i="1"/>
  <c r="F60" i="1"/>
  <c r="F190" i="1" s="1"/>
  <c r="J60" i="1"/>
  <c r="J190" i="1" s="1"/>
  <c r="E61" i="1"/>
  <c r="E191" i="1" s="1"/>
  <c r="I61" i="1"/>
  <c r="I191" i="1" s="1"/>
  <c r="D62" i="1"/>
  <c r="D192" i="1" s="1"/>
  <c r="H62" i="1"/>
  <c r="H192" i="1" s="1"/>
  <c r="C63" i="1"/>
  <c r="C193" i="1" s="1"/>
  <c r="G63" i="1"/>
  <c r="G193" i="1" s="1"/>
  <c r="K63" i="1"/>
  <c r="K193" i="1" s="1"/>
  <c r="E69" i="1"/>
  <c r="E199" i="1" s="1"/>
  <c r="F208" i="1"/>
  <c r="J89" i="1"/>
  <c r="J219" i="1" s="1"/>
  <c r="J208" i="1"/>
  <c r="F80" i="1"/>
  <c r="F210" i="1" s="1"/>
  <c r="J80" i="1"/>
  <c r="D81" i="1"/>
  <c r="D211" i="1" s="1"/>
  <c r="H81" i="1"/>
  <c r="H211" i="1" s="1"/>
  <c r="F82" i="1"/>
  <c r="F212" i="1" s="1"/>
  <c r="J82" i="1"/>
  <c r="J212" i="1" s="1"/>
  <c r="F84" i="1"/>
  <c r="C228" i="1"/>
  <c r="C103" i="1"/>
  <c r="C233" i="1" s="1"/>
  <c r="C109" i="1"/>
  <c r="G103" i="1"/>
  <c r="G233" i="1" s="1"/>
  <c r="K228" i="1"/>
  <c r="K103" i="1"/>
  <c r="K233" i="1" s="1"/>
  <c r="C100" i="1"/>
  <c r="C230" i="1" s="1"/>
  <c r="G102" i="1"/>
  <c r="G232" i="1" s="1"/>
  <c r="C248" i="1"/>
  <c r="G248" i="1"/>
  <c r="K248" i="1"/>
  <c r="D121" i="1"/>
  <c r="D251" i="1" s="1"/>
  <c r="K122" i="1"/>
  <c r="K252" i="1" s="1"/>
  <c r="G126" i="1"/>
  <c r="G256" i="1" s="1"/>
  <c r="C141" i="1"/>
  <c r="C271" i="1" s="1"/>
  <c r="J142" i="1"/>
  <c r="J272" i="1" s="1"/>
  <c r="F146" i="1"/>
  <c r="F276" i="1" s="1"/>
  <c r="F172" i="1"/>
  <c r="D188" i="1"/>
  <c r="I166" i="1"/>
  <c r="I296" i="1" s="1"/>
  <c r="E166" i="1"/>
  <c r="E296" i="1" s="1"/>
  <c r="I162" i="1"/>
  <c r="I292" i="1" s="1"/>
  <c r="E162" i="1"/>
  <c r="E292" i="1" s="1"/>
  <c r="K166" i="1"/>
  <c r="K296" i="1" s="1"/>
  <c r="F166" i="1"/>
  <c r="F296" i="1" s="1"/>
  <c r="J162" i="1"/>
  <c r="J292" i="1" s="1"/>
  <c r="D162" i="1"/>
  <c r="D292" i="1" s="1"/>
  <c r="J102" i="1"/>
  <c r="J232" i="1" s="1"/>
  <c r="F102" i="1"/>
  <c r="F232" i="1" s="1"/>
  <c r="J166" i="1"/>
  <c r="J296" i="1" s="1"/>
  <c r="D166" i="1"/>
  <c r="D296" i="1" s="1"/>
  <c r="H162" i="1"/>
  <c r="H292" i="1" s="1"/>
  <c r="C162" i="1"/>
  <c r="C292" i="1" s="1"/>
  <c r="I102" i="1"/>
  <c r="I232" i="1" s="1"/>
  <c r="E102" i="1"/>
  <c r="E232" i="1" s="1"/>
  <c r="H166" i="1"/>
  <c r="H296" i="1" s="1"/>
  <c r="C166" i="1"/>
  <c r="C296" i="1" s="1"/>
  <c r="G162" i="1"/>
  <c r="G292" i="1" s="1"/>
  <c r="H102" i="1"/>
  <c r="H232" i="1" s="1"/>
  <c r="D102" i="1"/>
  <c r="D232" i="1" s="1"/>
  <c r="I60" i="1"/>
  <c r="C81" i="1"/>
  <c r="C211" i="1" s="1"/>
  <c r="G81" i="1"/>
  <c r="G211" i="1" s="1"/>
  <c r="K81" i="1"/>
  <c r="K211" i="1" s="1"/>
  <c r="C102" i="1"/>
  <c r="C232" i="1" s="1"/>
  <c r="I120" i="1"/>
  <c r="J161" i="1"/>
  <c r="J291" i="1" s="1"/>
  <c r="F161" i="1"/>
  <c r="F291" i="1" s="1"/>
  <c r="H161" i="1"/>
  <c r="H291" i="1" s="1"/>
  <c r="C161" i="1"/>
  <c r="C291" i="1" s="1"/>
  <c r="H101" i="1"/>
  <c r="H231" i="1" s="1"/>
  <c r="D101" i="1"/>
  <c r="D231" i="1" s="1"/>
  <c r="G161" i="1"/>
  <c r="G291" i="1" s="1"/>
  <c r="K101" i="1"/>
  <c r="K231" i="1" s="1"/>
  <c r="G101" i="1"/>
  <c r="G231" i="1" s="1"/>
  <c r="C101" i="1"/>
  <c r="C231" i="1" s="1"/>
  <c r="K161" i="1"/>
  <c r="K291" i="1" s="1"/>
  <c r="E161" i="1"/>
  <c r="E291" i="1" s="1"/>
  <c r="J101" i="1"/>
  <c r="J231" i="1" s="1"/>
  <c r="F101" i="1"/>
  <c r="F231" i="1" s="1"/>
  <c r="K160" i="1"/>
  <c r="K290" i="1" s="1"/>
  <c r="G160" i="1"/>
  <c r="G290" i="1" s="1"/>
  <c r="C160" i="1"/>
  <c r="C290" i="1" s="1"/>
  <c r="F160" i="1"/>
  <c r="F290" i="1" s="1"/>
  <c r="J100" i="1"/>
  <c r="F100" i="1"/>
  <c r="J160" i="1"/>
  <c r="J290" i="1" s="1"/>
  <c r="E160" i="1"/>
  <c r="E290" i="1" s="1"/>
  <c r="I100" i="1"/>
  <c r="I230" i="1" s="1"/>
  <c r="E100" i="1"/>
  <c r="E230" i="1" s="1"/>
  <c r="E239" i="1" s="1"/>
  <c r="E240" i="1" s="1"/>
  <c r="I160" i="1"/>
  <c r="D160" i="1"/>
  <c r="D290" i="1" s="1"/>
  <c r="H100" i="1"/>
  <c r="H230" i="1" s="1"/>
  <c r="D100" i="1"/>
  <c r="D230" i="1" s="1"/>
  <c r="I12" i="1"/>
  <c r="C60" i="1"/>
  <c r="C190" i="1" s="1"/>
  <c r="G60" i="1"/>
  <c r="G190" i="1" s="1"/>
  <c r="K60" i="1"/>
  <c r="K190" i="1" s="1"/>
  <c r="F61" i="1"/>
  <c r="F191" i="1" s="1"/>
  <c r="J61" i="1"/>
  <c r="J191" i="1" s="1"/>
  <c r="E62" i="1"/>
  <c r="E192" i="1" s="1"/>
  <c r="I62" i="1"/>
  <c r="I192" i="1" s="1"/>
  <c r="D63" i="1"/>
  <c r="D193" i="1" s="1"/>
  <c r="H63" i="1"/>
  <c r="H193" i="1" s="1"/>
  <c r="G64" i="1"/>
  <c r="G208" i="1"/>
  <c r="K208" i="1"/>
  <c r="C80" i="1"/>
  <c r="C210" i="1" s="1"/>
  <c r="G80" i="1"/>
  <c r="G210" i="1" s="1"/>
  <c r="E81" i="1"/>
  <c r="E211" i="1" s="1"/>
  <c r="I81" i="1"/>
  <c r="I211" i="1" s="1"/>
  <c r="C82" i="1"/>
  <c r="C212" i="1" s="1"/>
  <c r="G82" i="1"/>
  <c r="G212" i="1" s="1"/>
  <c r="K82" i="1"/>
  <c r="K212" i="1" s="1"/>
  <c r="E83" i="1"/>
  <c r="E213" i="1" s="1"/>
  <c r="I83" i="1"/>
  <c r="I213" i="1" s="1"/>
  <c r="E89" i="1"/>
  <c r="E219" i="1" s="1"/>
  <c r="G100" i="1"/>
  <c r="I101" i="1"/>
  <c r="I231" i="1" s="1"/>
  <c r="I239" i="1" s="1"/>
  <c r="I240" i="1" s="1"/>
  <c r="K102" i="1"/>
  <c r="K232" i="1" s="1"/>
  <c r="E132" i="1"/>
  <c r="D161" i="1"/>
  <c r="D291" i="1" s="1"/>
  <c r="J141" i="1"/>
  <c r="J271" i="1" s="1"/>
  <c r="F141" i="1"/>
  <c r="F271" i="1" s="1"/>
  <c r="I141" i="1"/>
  <c r="I271" i="1" s="1"/>
  <c r="E141" i="1"/>
  <c r="E271" i="1" s="1"/>
  <c r="H141" i="1"/>
  <c r="H271" i="1" s="1"/>
  <c r="D141" i="1"/>
  <c r="D271" i="1" s="1"/>
  <c r="E60" i="1"/>
  <c r="E84" i="1"/>
  <c r="J268" i="1"/>
  <c r="H288" i="1"/>
  <c r="K140" i="1"/>
  <c r="G140" i="1"/>
  <c r="C140" i="1"/>
  <c r="J140" i="1"/>
  <c r="F140" i="1"/>
  <c r="I140" i="1"/>
  <c r="E140" i="1"/>
  <c r="G11" i="1"/>
  <c r="F143" i="1"/>
  <c r="F273" i="1" s="1"/>
  <c r="J126" i="1"/>
  <c r="J256" i="1" s="1"/>
  <c r="F126" i="1"/>
  <c r="F256" i="1" s="1"/>
  <c r="J122" i="1"/>
  <c r="J252" i="1" s="1"/>
  <c r="F122" i="1"/>
  <c r="F252" i="1" s="1"/>
  <c r="I126" i="1"/>
  <c r="I256" i="1" s="1"/>
  <c r="E126" i="1"/>
  <c r="E256" i="1" s="1"/>
  <c r="I122" i="1"/>
  <c r="I252" i="1" s="1"/>
  <c r="E122" i="1"/>
  <c r="E252" i="1" s="1"/>
  <c r="H126" i="1"/>
  <c r="H256" i="1" s="1"/>
  <c r="D126" i="1"/>
  <c r="D256" i="1" s="1"/>
  <c r="H122" i="1"/>
  <c r="H252" i="1" s="1"/>
  <c r="D122" i="1"/>
  <c r="D252" i="1" s="1"/>
  <c r="H11" i="1"/>
  <c r="K121" i="1"/>
  <c r="K251" i="1" s="1"/>
  <c r="G121" i="1"/>
  <c r="G251" i="1" s="1"/>
  <c r="C121" i="1"/>
  <c r="C251" i="1" s="1"/>
  <c r="J121" i="1"/>
  <c r="J251" i="1" s="1"/>
  <c r="F121" i="1"/>
  <c r="F251" i="1" s="1"/>
  <c r="I121" i="1"/>
  <c r="I251" i="1" s="1"/>
  <c r="E121" i="1"/>
  <c r="E251" i="1" s="1"/>
  <c r="I146" i="1"/>
  <c r="I276" i="1" s="1"/>
  <c r="E146" i="1"/>
  <c r="E276" i="1" s="1"/>
  <c r="I142" i="1"/>
  <c r="I272" i="1" s="1"/>
  <c r="E142" i="1"/>
  <c r="E272" i="1" s="1"/>
  <c r="H146" i="1"/>
  <c r="H276" i="1" s="1"/>
  <c r="D146" i="1"/>
  <c r="D276" i="1" s="1"/>
  <c r="H142" i="1"/>
  <c r="H272" i="1" s="1"/>
  <c r="D142" i="1"/>
  <c r="D272" i="1" s="1"/>
  <c r="K146" i="1"/>
  <c r="K276" i="1" s="1"/>
  <c r="G146" i="1"/>
  <c r="G276" i="1" s="1"/>
  <c r="C146" i="1"/>
  <c r="C276" i="1" s="1"/>
  <c r="K142" i="1"/>
  <c r="K272" i="1" s="1"/>
  <c r="G142" i="1"/>
  <c r="G272" i="1" s="1"/>
  <c r="C142" i="1"/>
  <c r="C272" i="1" s="1"/>
  <c r="I11" i="1"/>
  <c r="K307" i="1"/>
  <c r="G307" i="1"/>
  <c r="C307" i="1"/>
  <c r="J302" i="1"/>
  <c r="F302" i="1"/>
  <c r="I262" i="1"/>
  <c r="E262" i="1"/>
  <c r="J307" i="1"/>
  <c r="F307" i="1"/>
  <c r="I302" i="1"/>
  <c r="E302" i="1"/>
  <c r="H262" i="1"/>
  <c r="D262" i="1"/>
  <c r="I307" i="1"/>
  <c r="E307" i="1"/>
  <c r="H302" i="1"/>
  <c r="D302" i="1"/>
  <c r="K262" i="1"/>
  <c r="G262" i="1"/>
  <c r="C262" i="1"/>
  <c r="H307" i="1"/>
  <c r="C302" i="1"/>
  <c r="D307" i="1"/>
  <c r="H282" i="1"/>
  <c r="K302" i="1"/>
  <c r="D282" i="1"/>
  <c r="J262" i="1"/>
  <c r="G302" i="1"/>
  <c r="K172" i="1"/>
  <c r="G172" i="1"/>
  <c r="C172" i="1"/>
  <c r="H152" i="1"/>
  <c r="D152" i="1"/>
  <c r="J172" i="1"/>
  <c r="E172" i="1"/>
  <c r="I152" i="1"/>
  <c r="C152" i="1"/>
  <c r="H132" i="1"/>
  <c r="D132" i="1"/>
  <c r="I172" i="1"/>
  <c r="D172" i="1"/>
  <c r="G152" i="1"/>
  <c r="K132" i="1"/>
  <c r="G132" i="1"/>
  <c r="C132" i="1"/>
  <c r="H172" i="1"/>
  <c r="K152" i="1"/>
  <c r="F152" i="1"/>
  <c r="J132" i="1"/>
  <c r="F132" i="1"/>
  <c r="D60" i="1"/>
  <c r="H60" i="1"/>
  <c r="C61" i="1"/>
  <c r="C191" i="1" s="1"/>
  <c r="G61" i="1"/>
  <c r="G191" i="1" s="1"/>
  <c r="K61" i="1"/>
  <c r="K191" i="1" s="1"/>
  <c r="F62" i="1"/>
  <c r="F192" i="1" s="1"/>
  <c r="J62" i="1"/>
  <c r="J192" i="1" s="1"/>
  <c r="E63" i="1"/>
  <c r="E193" i="1" s="1"/>
  <c r="I63" i="1"/>
  <c r="I193" i="1" s="1"/>
  <c r="C69" i="1"/>
  <c r="C199" i="1" s="1"/>
  <c r="G69" i="1"/>
  <c r="G199" i="1" s="1"/>
  <c r="D208" i="1"/>
  <c r="H208" i="1"/>
  <c r="H89" i="1"/>
  <c r="H219" i="1" s="1"/>
  <c r="D80" i="1"/>
  <c r="D210" i="1" s="1"/>
  <c r="H80" i="1"/>
  <c r="H210" i="1" s="1"/>
  <c r="F81" i="1"/>
  <c r="F211" i="1" s="1"/>
  <c r="J81" i="1"/>
  <c r="J211" i="1" s="1"/>
  <c r="D82" i="1"/>
  <c r="D212" i="1" s="1"/>
  <c r="H82" i="1"/>
  <c r="H212" i="1" s="1"/>
  <c r="F83" i="1"/>
  <c r="F213" i="1" s="1"/>
  <c r="J83" i="1"/>
  <c r="J213" i="1" s="1"/>
  <c r="I84" i="1"/>
  <c r="I143" i="1" s="1"/>
  <c r="I273" i="1" s="1"/>
  <c r="I274" i="1" s="1"/>
  <c r="G89" i="1"/>
  <c r="G219" i="1" s="1"/>
  <c r="K100" i="1"/>
  <c r="K230" i="1" s="1"/>
  <c r="C104" i="1"/>
  <c r="C163" i="1" s="1"/>
  <c r="C293" i="1" s="1"/>
  <c r="E120" i="1"/>
  <c r="C122" i="1"/>
  <c r="C252" i="1" s="1"/>
  <c r="I132" i="1"/>
  <c r="D140" i="1"/>
  <c r="K141" i="1"/>
  <c r="K271" i="1" s="1"/>
  <c r="J152" i="1"/>
  <c r="I161" i="1"/>
  <c r="I291" i="1" s="1"/>
  <c r="G166" i="1"/>
  <c r="G296" i="1" s="1"/>
  <c r="D239" i="1"/>
  <c r="D240" i="1" s="1"/>
  <c r="H239" i="1"/>
  <c r="H240" i="1" s="1"/>
  <c r="F103" i="1"/>
  <c r="F233" i="1" s="1"/>
  <c r="J103" i="1"/>
  <c r="J233" i="1" s="1"/>
  <c r="D104" i="1"/>
  <c r="H104" i="1"/>
  <c r="H163" i="1" s="1"/>
  <c r="D109" i="1"/>
  <c r="H109" i="1"/>
  <c r="D103" i="1"/>
  <c r="D233" i="1" s="1"/>
  <c r="H103" i="1"/>
  <c r="H233" i="1" s="1"/>
  <c r="F104" i="1"/>
  <c r="C288" i="1"/>
  <c r="G288" i="1"/>
  <c r="K288" i="1"/>
  <c r="E282" i="1"/>
  <c r="I282" i="1"/>
  <c r="F282" i="1"/>
  <c r="J282" i="1"/>
  <c r="C282" i="1"/>
  <c r="G282" i="1"/>
  <c r="K282" i="1"/>
  <c r="K109" i="22" l="1"/>
  <c r="K239" i="22"/>
  <c r="K240" i="22" s="1"/>
  <c r="J89" i="22"/>
  <c r="J219" i="22" s="1"/>
  <c r="D89" i="22"/>
  <c r="D219" i="22" s="1"/>
  <c r="C89" i="22"/>
  <c r="C219" i="22" s="1"/>
  <c r="C109" i="22"/>
  <c r="C104" i="22"/>
  <c r="C84" i="22"/>
  <c r="C149" i="22" s="1"/>
  <c r="C279" i="22" s="1"/>
  <c r="J84" i="22"/>
  <c r="J143" i="22" s="1"/>
  <c r="J273" i="22" s="1"/>
  <c r="G239" i="22"/>
  <c r="G240" i="22" s="1"/>
  <c r="D294" i="22"/>
  <c r="J274" i="22"/>
  <c r="E150" i="22"/>
  <c r="E280" i="22" s="1"/>
  <c r="E214" i="22"/>
  <c r="E86" i="22"/>
  <c r="E85" i="22"/>
  <c r="E149" i="22"/>
  <c r="E279" i="22" s="1"/>
  <c r="E143" i="22"/>
  <c r="I150" i="22"/>
  <c r="I280" i="22" s="1"/>
  <c r="I86" i="22"/>
  <c r="I149" i="22"/>
  <c r="I279" i="22" s="1"/>
  <c r="I85" i="22"/>
  <c r="I214" i="22"/>
  <c r="I143" i="22"/>
  <c r="I273" i="22" s="1"/>
  <c r="I274" i="22" s="1"/>
  <c r="D144" i="22"/>
  <c r="K273" i="22"/>
  <c r="K274" i="22" s="1"/>
  <c r="K144" i="22"/>
  <c r="G150" i="22"/>
  <c r="G280" i="22" s="1"/>
  <c r="G214" i="22"/>
  <c r="G149" i="22"/>
  <c r="G279" i="22" s="1"/>
  <c r="G85" i="22"/>
  <c r="G86" i="22"/>
  <c r="D194" i="22"/>
  <c r="D130" i="22"/>
  <c r="D260" i="22" s="1"/>
  <c r="D65" i="22"/>
  <c r="D129" i="22"/>
  <c r="D259" i="22" s="1"/>
  <c r="D66" i="22"/>
  <c r="D123" i="22"/>
  <c r="I148" i="22"/>
  <c r="I278" i="22" s="1"/>
  <c r="E148" i="22"/>
  <c r="E278" i="22" s="1"/>
  <c r="H148" i="22"/>
  <c r="H278" i="22" s="1"/>
  <c r="D148" i="22"/>
  <c r="D278" i="22" s="1"/>
  <c r="K148" i="22"/>
  <c r="K278" i="22" s="1"/>
  <c r="G148" i="22"/>
  <c r="G278" i="22" s="1"/>
  <c r="C148" i="22"/>
  <c r="C278" i="22" s="1"/>
  <c r="J148" i="22"/>
  <c r="J278" i="22" s="1"/>
  <c r="F148" i="22"/>
  <c r="F278" i="22" s="1"/>
  <c r="J144" i="22"/>
  <c r="J250" i="22"/>
  <c r="E64" i="22"/>
  <c r="G109" i="22"/>
  <c r="F109" i="22"/>
  <c r="G89" i="22"/>
  <c r="G219" i="22" s="1"/>
  <c r="F69" i="22"/>
  <c r="F199" i="22" s="1"/>
  <c r="I290" i="22"/>
  <c r="K250" i="22"/>
  <c r="H69" i="22"/>
  <c r="H199" i="22" s="1"/>
  <c r="H230" i="22"/>
  <c r="H239" i="22" s="1"/>
  <c r="H240" i="22" s="1"/>
  <c r="H109" i="22"/>
  <c r="E234" i="22"/>
  <c r="E170" i="22"/>
  <c r="E300" i="22" s="1"/>
  <c r="E169" i="22"/>
  <c r="E299" i="22" s="1"/>
  <c r="E105" i="22"/>
  <c r="E106" i="22"/>
  <c r="C194" i="22"/>
  <c r="C66" i="22"/>
  <c r="C130" i="22"/>
  <c r="C260" i="22" s="1"/>
  <c r="C65" i="22"/>
  <c r="C129" i="22"/>
  <c r="C259" i="22" s="1"/>
  <c r="J128" i="22"/>
  <c r="J258" i="22" s="1"/>
  <c r="F128" i="22"/>
  <c r="F258" i="22" s="1"/>
  <c r="I128" i="22"/>
  <c r="I258" i="22" s="1"/>
  <c r="E128" i="22"/>
  <c r="E258" i="22" s="1"/>
  <c r="H128" i="22"/>
  <c r="H258" i="22" s="1"/>
  <c r="D128" i="22"/>
  <c r="D258" i="22" s="1"/>
  <c r="C128" i="22"/>
  <c r="C258" i="22" s="1"/>
  <c r="K128" i="22"/>
  <c r="K258" i="22" s="1"/>
  <c r="G128" i="22"/>
  <c r="G258" i="22" s="1"/>
  <c r="E239" i="22"/>
  <c r="E240" i="22" s="1"/>
  <c r="D168" i="22"/>
  <c r="D298" i="22" s="1"/>
  <c r="F84" i="22"/>
  <c r="D234" i="22"/>
  <c r="D170" i="22"/>
  <c r="D300" i="22" s="1"/>
  <c r="D169" i="22"/>
  <c r="D299" i="22" s="1"/>
  <c r="D106" i="22"/>
  <c r="D105" i="22"/>
  <c r="C234" i="22"/>
  <c r="C169" i="22"/>
  <c r="C299" i="22" s="1"/>
  <c r="C106" i="22"/>
  <c r="C170" i="22"/>
  <c r="C300" i="22" s="1"/>
  <c r="C105" i="22"/>
  <c r="H64" i="22"/>
  <c r="G143" i="22"/>
  <c r="G250" i="22"/>
  <c r="I210" i="22"/>
  <c r="I89" i="22"/>
  <c r="I219" i="22" s="1"/>
  <c r="J109" i="22"/>
  <c r="I239" i="22"/>
  <c r="I240" i="22" s="1"/>
  <c r="D164" i="22"/>
  <c r="D274" i="22"/>
  <c r="K104" i="22"/>
  <c r="J104" i="22"/>
  <c r="I104" i="22"/>
  <c r="J64" i="22"/>
  <c r="E290" i="22"/>
  <c r="E294" i="22" s="1"/>
  <c r="E164" i="22"/>
  <c r="I64" i="22"/>
  <c r="I190" i="22"/>
  <c r="I69" i="22"/>
  <c r="I199" i="22" s="1"/>
  <c r="G64" i="22"/>
  <c r="E168" i="22"/>
  <c r="E298" i="22" s="1"/>
  <c r="C168" i="22"/>
  <c r="C298" i="22" s="1"/>
  <c r="C163" i="22"/>
  <c r="C250" i="22"/>
  <c r="C254" i="22" s="1"/>
  <c r="C124" i="22"/>
  <c r="E69" i="22"/>
  <c r="E199" i="22" s="1"/>
  <c r="I109" i="22"/>
  <c r="D214" i="22"/>
  <c r="D149" i="22"/>
  <c r="D279" i="22" s="1"/>
  <c r="D150" i="22"/>
  <c r="D280" i="22" s="1"/>
  <c r="D86" i="22"/>
  <c r="D85" i="22"/>
  <c r="D230" i="22"/>
  <c r="D239" i="22" s="1"/>
  <c r="D240" i="22" s="1"/>
  <c r="D109" i="22"/>
  <c r="J150" i="22"/>
  <c r="J280" i="22" s="1"/>
  <c r="J214" i="22"/>
  <c r="J149" i="22"/>
  <c r="J279" i="22" s="1"/>
  <c r="J85" i="22"/>
  <c r="J86" i="22"/>
  <c r="H104" i="22"/>
  <c r="G104" i="22"/>
  <c r="H214" i="22"/>
  <c r="H149" i="22"/>
  <c r="H279" i="22" s="1"/>
  <c r="H150" i="22"/>
  <c r="H280" i="22" s="1"/>
  <c r="H86" i="22"/>
  <c r="H85" i="22"/>
  <c r="F104" i="22"/>
  <c r="K150" i="22"/>
  <c r="K280" i="22" s="1"/>
  <c r="K214" i="22"/>
  <c r="K149" i="22"/>
  <c r="K279" i="22" s="1"/>
  <c r="K85" i="22"/>
  <c r="K86" i="22"/>
  <c r="H143" i="22"/>
  <c r="H273" i="22" s="1"/>
  <c r="H274" i="22" s="1"/>
  <c r="F64" i="22"/>
  <c r="K64" i="22"/>
  <c r="G69" i="22"/>
  <c r="G199" i="22" s="1"/>
  <c r="E210" i="22"/>
  <c r="E89" i="22"/>
  <c r="E219" i="22" s="1"/>
  <c r="E109" i="22"/>
  <c r="F89" i="22"/>
  <c r="F219" i="22" s="1"/>
  <c r="F250" i="22"/>
  <c r="H293" i="1"/>
  <c r="H164" i="1"/>
  <c r="C294" i="1"/>
  <c r="D234" i="1"/>
  <c r="D105" i="1"/>
  <c r="D169" i="1"/>
  <c r="D299" i="1" s="1"/>
  <c r="D170" i="1"/>
  <c r="D300" i="1" s="1"/>
  <c r="D106" i="1"/>
  <c r="H190" i="1"/>
  <c r="H69" i="1"/>
  <c r="H199" i="1" s="1"/>
  <c r="F144" i="1"/>
  <c r="H214" i="1"/>
  <c r="H150" i="1"/>
  <c r="H280" i="1" s="1"/>
  <c r="H149" i="1"/>
  <c r="H279" i="1" s="1"/>
  <c r="H85" i="1"/>
  <c r="H86" i="1"/>
  <c r="I109" i="1"/>
  <c r="I104" i="1"/>
  <c r="K69" i="1"/>
  <c r="K199" i="1" s="1"/>
  <c r="D190" i="1"/>
  <c r="D69" i="1"/>
  <c r="D199" i="1" s="1"/>
  <c r="D163" i="1"/>
  <c r="D293" i="1" s="1"/>
  <c r="D294" i="1" s="1"/>
  <c r="H294" i="1"/>
  <c r="E190" i="1"/>
  <c r="E64" i="1"/>
  <c r="G230" i="1"/>
  <c r="G239" i="1" s="1"/>
  <c r="G240" i="1" s="1"/>
  <c r="G104" i="1"/>
  <c r="K84" i="1"/>
  <c r="J69" i="1"/>
  <c r="J199" i="1" s="1"/>
  <c r="C64" i="1"/>
  <c r="J230" i="1"/>
  <c r="J239" i="1" s="1"/>
  <c r="J240" i="1" s="1"/>
  <c r="J109" i="1"/>
  <c r="I250" i="1"/>
  <c r="K239" i="1"/>
  <c r="K240" i="1" s="1"/>
  <c r="J210" i="1"/>
  <c r="J84" i="1"/>
  <c r="J64" i="1"/>
  <c r="F274" i="1"/>
  <c r="F234" i="1"/>
  <c r="F169" i="1"/>
  <c r="F299" i="1" s="1"/>
  <c r="F106" i="1"/>
  <c r="F170" i="1"/>
  <c r="F300" i="1" s="1"/>
  <c r="F105" i="1"/>
  <c r="H64" i="1"/>
  <c r="K168" i="1"/>
  <c r="K298" i="1" s="1"/>
  <c r="G168" i="1"/>
  <c r="G298" i="1" s="1"/>
  <c r="C168" i="1"/>
  <c r="C298" i="1" s="1"/>
  <c r="I168" i="1"/>
  <c r="I298" i="1" s="1"/>
  <c r="D168" i="1"/>
  <c r="D298" i="1" s="1"/>
  <c r="H168" i="1"/>
  <c r="H298" i="1" s="1"/>
  <c r="F168" i="1"/>
  <c r="F298" i="1" s="1"/>
  <c r="J168" i="1"/>
  <c r="J298" i="1" s="1"/>
  <c r="E168" i="1"/>
  <c r="E298" i="1" s="1"/>
  <c r="G194" i="1"/>
  <c r="G129" i="1"/>
  <c r="G259" i="1" s="1"/>
  <c r="G65" i="1"/>
  <c r="G66" i="1"/>
  <c r="G130" i="1"/>
  <c r="G260" i="1" s="1"/>
  <c r="E104" i="1"/>
  <c r="D164" i="1"/>
  <c r="E250" i="1"/>
  <c r="F163" i="1"/>
  <c r="F69" i="1"/>
  <c r="F199" i="1" s="1"/>
  <c r="G109" i="1"/>
  <c r="C239" i="1"/>
  <c r="C240" i="1" s="1"/>
  <c r="F89" i="1"/>
  <c r="F219" i="1" s="1"/>
  <c r="F64" i="1"/>
  <c r="G123" i="1"/>
  <c r="G253" i="1" s="1"/>
  <c r="G254" i="1" s="1"/>
  <c r="D64" i="1"/>
  <c r="K89" i="1"/>
  <c r="K219" i="1" s="1"/>
  <c r="D84" i="1"/>
  <c r="E214" i="1"/>
  <c r="E150" i="1"/>
  <c r="E280" i="1" s="1"/>
  <c r="E85" i="1"/>
  <c r="E149" i="1"/>
  <c r="E279" i="1" s="1"/>
  <c r="E86" i="1"/>
  <c r="F230" i="1"/>
  <c r="F239" i="1" s="1"/>
  <c r="F240" i="1" s="1"/>
  <c r="F109" i="1"/>
  <c r="K104" i="1"/>
  <c r="F149" i="1"/>
  <c r="F279" i="1" s="1"/>
  <c r="F85" i="1"/>
  <c r="F86" i="1"/>
  <c r="F150" i="1"/>
  <c r="F280" i="1" s="1"/>
  <c r="F214" i="1"/>
  <c r="E109" i="1"/>
  <c r="C164" i="1"/>
  <c r="J104" i="1"/>
  <c r="I144" i="1"/>
  <c r="H234" i="1"/>
  <c r="H105" i="1"/>
  <c r="H169" i="1"/>
  <c r="H299" i="1" s="1"/>
  <c r="H106" i="1"/>
  <c r="H170" i="1"/>
  <c r="H300" i="1" s="1"/>
  <c r="C234" i="1"/>
  <c r="C105" i="1"/>
  <c r="C169" i="1"/>
  <c r="C299" i="1" s="1"/>
  <c r="C106" i="1"/>
  <c r="C170" i="1"/>
  <c r="C300" i="1" s="1"/>
  <c r="I214" i="1"/>
  <c r="I150" i="1"/>
  <c r="I280" i="1" s="1"/>
  <c r="I85" i="1"/>
  <c r="I149" i="1"/>
  <c r="I279" i="1" s="1"/>
  <c r="I86" i="1"/>
  <c r="D89" i="1"/>
  <c r="D219" i="1" s="1"/>
  <c r="K148" i="1"/>
  <c r="K278" i="1" s="1"/>
  <c r="G148" i="1"/>
  <c r="G278" i="1" s="1"/>
  <c r="C148" i="1"/>
  <c r="C278" i="1" s="1"/>
  <c r="J148" i="1"/>
  <c r="J278" i="1" s="1"/>
  <c r="F148" i="1"/>
  <c r="F278" i="1" s="1"/>
  <c r="I148" i="1"/>
  <c r="I278" i="1" s="1"/>
  <c r="E148" i="1"/>
  <c r="E278" i="1" s="1"/>
  <c r="H148" i="1"/>
  <c r="H278" i="1" s="1"/>
  <c r="D148" i="1"/>
  <c r="D278" i="1" s="1"/>
  <c r="H143" i="1"/>
  <c r="H273" i="1" s="1"/>
  <c r="H128" i="1"/>
  <c r="H258" i="1" s="1"/>
  <c r="D128" i="1"/>
  <c r="D258" i="1" s="1"/>
  <c r="K128" i="1"/>
  <c r="K258" i="1" s="1"/>
  <c r="G128" i="1"/>
  <c r="G258" i="1" s="1"/>
  <c r="C128" i="1"/>
  <c r="C258" i="1" s="1"/>
  <c r="J128" i="1"/>
  <c r="J258" i="1" s="1"/>
  <c r="F128" i="1"/>
  <c r="F258" i="1" s="1"/>
  <c r="I128" i="1"/>
  <c r="I258" i="1" s="1"/>
  <c r="E128" i="1"/>
  <c r="E258" i="1" s="1"/>
  <c r="H274" i="1"/>
  <c r="C84" i="1"/>
  <c r="G84" i="1"/>
  <c r="K64" i="1"/>
  <c r="I290" i="1"/>
  <c r="I89" i="1"/>
  <c r="I219" i="1" s="1"/>
  <c r="I190" i="1"/>
  <c r="I64" i="1"/>
  <c r="K109" i="1"/>
  <c r="C89" i="1"/>
  <c r="C219" i="1" s="1"/>
  <c r="I69" i="1"/>
  <c r="I199" i="1" s="1"/>
  <c r="H144" i="1"/>
  <c r="E143" i="1"/>
  <c r="C143" i="22" l="1"/>
  <c r="C214" i="22"/>
  <c r="C86" i="22"/>
  <c r="C150" i="22"/>
  <c r="C280" i="22" s="1"/>
  <c r="C85" i="22"/>
  <c r="C215" i="22" s="1"/>
  <c r="C218" i="22" s="1"/>
  <c r="C275" i="22" s="1"/>
  <c r="C277" i="22" s="1"/>
  <c r="G124" i="1"/>
  <c r="K216" i="22"/>
  <c r="K217" i="22" s="1"/>
  <c r="K221" i="22" s="1"/>
  <c r="K281" i="22" s="1"/>
  <c r="K42" i="22" s="1"/>
  <c r="K87" i="22"/>
  <c r="K91" i="22" s="1"/>
  <c r="H216" i="22"/>
  <c r="H217" i="22" s="1"/>
  <c r="H221" i="22" s="1"/>
  <c r="H281" i="22" s="1"/>
  <c r="H42" i="22" s="1"/>
  <c r="H87" i="22"/>
  <c r="H91" i="22" s="1"/>
  <c r="D215" i="22"/>
  <c r="D218" i="22" s="1"/>
  <c r="D275" i="22" s="1"/>
  <c r="D277" i="22" s="1"/>
  <c r="D283" i="22" s="1"/>
  <c r="D51" i="22" s="1"/>
  <c r="D88" i="22"/>
  <c r="D145" i="22" s="1"/>
  <c r="D147" i="22" s="1"/>
  <c r="D153" i="22" s="1"/>
  <c r="D48" i="22" s="1"/>
  <c r="I194" i="22"/>
  <c r="I129" i="22"/>
  <c r="I259" i="22" s="1"/>
  <c r="I66" i="22"/>
  <c r="I130" i="22"/>
  <c r="I260" i="22" s="1"/>
  <c r="I65" i="22"/>
  <c r="I123" i="22"/>
  <c r="C236" i="22"/>
  <c r="C237" i="22" s="1"/>
  <c r="C241" i="22" s="1"/>
  <c r="C301" i="22" s="1"/>
  <c r="C43" i="22" s="1"/>
  <c r="C107" i="22"/>
  <c r="C111" i="22" s="1"/>
  <c r="C171" i="22" s="1"/>
  <c r="C40" i="22" s="1"/>
  <c r="D236" i="22"/>
  <c r="D237" i="22" s="1"/>
  <c r="D241" i="22" s="1"/>
  <c r="D301" i="22" s="1"/>
  <c r="D43" i="22" s="1"/>
  <c r="D107" i="22"/>
  <c r="D111" i="22" s="1"/>
  <c r="D171" i="22" s="1"/>
  <c r="D40" i="22" s="1"/>
  <c r="E235" i="22"/>
  <c r="E238" i="22" s="1"/>
  <c r="E295" i="22" s="1"/>
  <c r="E297" i="22" s="1"/>
  <c r="E303" i="22" s="1"/>
  <c r="E52" i="22" s="1"/>
  <c r="E108" i="22"/>
  <c r="E165" i="22" s="1"/>
  <c r="E167" i="22" s="1"/>
  <c r="E173" i="22" s="1"/>
  <c r="E49" i="22" s="1"/>
  <c r="D253" i="22"/>
  <c r="D254" i="22" s="1"/>
  <c r="D124" i="22"/>
  <c r="I216" i="22"/>
  <c r="I217" i="22" s="1"/>
  <c r="I221" i="22" s="1"/>
  <c r="I281" i="22" s="1"/>
  <c r="I42" i="22" s="1"/>
  <c r="I87" i="22"/>
  <c r="I91" i="22" s="1"/>
  <c r="E215" i="22"/>
  <c r="E218" i="22" s="1"/>
  <c r="E275" i="22" s="1"/>
  <c r="E277" i="22" s="1"/>
  <c r="E88" i="22"/>
  <c r="E145" i="22" s="1"/>
  <c r="E147" i="22" s="1"/>
  <c r="F194" i="22"/>
  <c r="F66" i="22"/>
  <c r="F130" i="22"/>
  <c r="F260" i="22" s="1"/>
  <c r="F65" i="22"/>
  <c r="F129" i="22"/>
  <c r="F259" i="22" s="1"/>
  <c r="F123" i="22"/>
  <c r="K88" i="22"/>
  <c r="K145" i="22" s="1"/>
  <c r="K147" i="22" s="1"/>
  <c r="K153" i="22" s="1"/>
  <c r="K48" i="22" s="1"/>
  <c r="K215" i="22"/>
  <c r="K218" i="22" s="1"/>
  <c r="K275" i="22" s="1"/>
  <c r="K277" i="22" s="1"/>
  <c r="K283" i="22" s="1"/>
  <c r="K51" i="22" s="1"/>
  <c r="F234" i="22"/>
  <c r="F170" i="22"/>
  <c r="F300" i="22" s="1"/>
  <c r="F169" i="22"/>
  <c r="F299" i="22" s="1"/>
  <c r="F105" i="22"/>
  <c r="F106" i="22"/>
  <c r="F163" i="22"/>
  <c r="H234" i="22"/>
  <c r="H170" i="22"/>
  <c r="H300" i="22" s="1"/>
  <c r="H106" i="22"/>
  <c r="H105" i="22"/>
  <c r="H169" i="22"/>
  <c r="H299" i="22" s="1"/>
  <c r="H163" i="22"/>
  <c r="J216" i="22"/>
  <c r="J217" i="22" s="1"/>
  <c r="J221" i="22" s="1"/>
  <c r="J281" i="22" s="1"/>
  <c r="J42" i="22" s="1"/>
  <c r="J87" i="22"/>
  <c r="J91" i="22" s="1"/>
  <c r="D216" i="22"/>
  <c r="D217" i="22" s="1"/>
  <c r="D221" i="22" s="1"/>
  <c r="D281" i="22" s="1"/>
  <c r="D42" i="22" s="1"/>
  <c r="D87" i="22"/>
  <c r="D91" i="22" s="1"/>
  <c r="G194" i="22"/>
  <c r="G66" i="22"/>
  <c r="G130" i="22"/>
  <c r="G260" i="22" s="1"/>
  <c r="G65" i="22"/>
  <c r="G129" i="22"/>
  <c r="G259" i="22" s="1"/>
  <c r="G123" i="22"/>
  <c r="J170" i="22"/>
  <c r="J300" i="22" s="1"/>
  <c r="J169" i="22"/>
  <c r="J299" i="22" s="1"/>
  <c r="J105" i="22"/>
  <c r="J106" i="22"/>
  <c r="J234" i="22"/>
  <c r="J163" i="22"/>
  <c r="H194" i="22"/>
  <c r="H130" i="22"/>
  <c r="H260" i="22" s="1"/>
  <c r="H65" i="22"/>
  <c r="H129" i="22"/>
  <c r="H259" i="22" s="1"/>
  <c r="H66" i="22"/>
  <c r="H123" i="22"/>
  <c r="C196" i="22"/>
  <c r="C197" i="22" s="1"/>
  <c r="C201" i="22" s="1"/>
  <c r="C261" i="22" s="1"/>
  <c r="C41" i="22" s="1"/>
  <c r="C67" i="22"/>
  <c r="C71" i="22" s="1"/>
  <c r="C131" i="22" s="1"/>
  <c r="C38" i="22" s="1"/>
  <c r="D196" i="22"/>
  <c r="D197" i="22" s="1"/>
  <c r="D201" i="22" s="1"/>
  <c r="D261" i="22" s="1"/>
  <c r="D41" i="22" s="1"/>
  <c r="D67" i="22"/>
  <c r="D71" i="22" s="1"/>
  <c r="D131" i="22" s="1"/>
  <c r="D38" i="22" s="1"/>
  <c r="E216" i="22"/>
  <c r="E217" i="22" s="1"/>
  <c r="E221" i="22" s="1"/>
  <c r="E281" i="22" s="1"/>
  <c r="E42" i="22" s="1"/>
  <c r="E87" i="22"/>
  <c r="E91" i="22" s="1"/>
  <c r="K194" i="22"/>
  <c r="K66" i="22"/>
  <c r="K130" i="22"/>
  <c r="K260" i="22" s="1"/>
  <c r="K65" i="22"/>
  <c r="K129" i="22"/>
  <c r="K259" i="22" s="1"/>
  <c r="K123" i="22"/>
  <c r="I234" i="22"/>
  <c r="I170" i="22"/>
  <c r="I300" i="22" s="1"/>
  <c r="I169" i="22"/>
  <c r="I299" i="22" s="1"/>
  <c r="I105" i="22"/>
  <c r="I106" i="22"/>
  <c r="I163" i="22"/>
  <c r="C216" i="22"/>
  <c r="C217" i="22" s="1"/>
  <c r="C221" i="22" s="1"/>
  <c r="C281" i="22" s="1"/>
  <c r="C42" i="22" s="1"/>
  <c r="C87" i="22"/>
  <c r="C91" i="22" s="1"/>
  <c r="H144" i="22"/>
  <c r="J215" i="22"/>
  <c r="J218" i="22" s="1"/>
  <c r="J275" i="22" s="1"/>
  <c r="J277" i="22" s="1"/>
  <c r="J88" i="22"/>
  <c r="J145" i="22" s="1"/>
  <c r="J147" i="22" s="1"/>
  <c r="J153" i="22" s="1"/>
  <c r="J48" i="22" s="1"/>
  <c r="C293" i="22"/>
  <c r="C294" i="22" s="1"/>
  <c r="C164" i="22"/>
  <c r="C235" i="22"/>
  <c r="C238" i="22" s="1"/>
  <c r="C295" i="22" s="1"/>
  <c r="C297" i="22" s="1"/>
  <c r="C108" i="22"/>
  <c r="C165" i="22" s="1"/>
  <c r="C167" i="22" s="1"/>
  <c r="F150" i="22"/>
  <c r="F280" i="22" s="1"/>
  <c r="F214" i="22"/>
  <c r="F149" i="22"/>
  <c r="F279" i="22" s="1"/>
  <c r="F85" i="22"/>
  <c r="F86" i="22"/>
  <c r="F143" i="22"/>
  <c r="I144" i="22"/>
  <c r="G216" i="22"/>
  <c r="G217" i="22" s="1"/>
  <c r="G221" i="22" s="1"/>
  <c r="G281" i="22" s="1"/>
  <c r="G42" i="22" s="1"/>
  <c r="G87" i="22"/>
  <c r="G91" i="22" s="1"/>
  <c r="I215" i="22"/>
  <c r="I218" i="22" s="1"/>
  <c r="I275" i="22" s="1"/>
  <c r="I277" i="22" s="1"/>
  <c r="I283" i="22" s="1"/>
  <c r="I51" i="22" s="1"/>
  <c r="I88" i="22"/>
  <c r="I145" i="22" s="1"/>
  <c r="I147" i="22" s="1"/>
  <c r="I153" i="22" s="1"/>
  <c r="I48" i="22" s="1"/>
  <c r="E273" i="22"/>
  <c r="E274" i="22" s="1"/>
  <c r="E144" i="22"/>
  <c r="G234" i="22"/>
  <c r="G169" i="22"/>
  <c r="G299" i="22" s="1"/>
  <c r="G170" i="22"/>
  <c r="G300" i="22" s="1"/>
  <c r="G106" i="22"/>
  <c r="G105" i="22"/>
  <c r="G163" i="22"/>
  <c r="D284" i="22"/>
  <c r="D33" i="22" s="1"/>
  <c r="O33" i="22" s="1"/>
  <c r="G273" i="22"/>
  <c r="G274" i="22" s="1"/>
  <c r="G144" i="22"/>
  <c r="C273" i="22"/>
  <c r="C274" i="22" s="1"/>
  <c r="C144" i="22"/>
  <c r="H215" i="22"/>
  <c r="H218" i="22" s="1"/>
  <c r="H275" i="22" s="1"/>
  <c r="H277" i="22" s="1"/>
  <c r="H283" i="22" s="1"/>
  <c r="H51" i="22" s="1"/>
  <c r="H88" i="22"/>
  <c r="H145" i="22" s="1"/>
  <c r="H147" i="22" s="1"/>
  <c r="J194" i="22"/>
  <c r="J66" i="22"/>
  <c r="J130" i="22"/>
  <c r="J260" i="22" s="1"/>
  <c r="J65" i="22"/>
  <c r="J129" i="22"/>
  <c r="J259" i="22" s="1"/>
  <c r="J123" i="22"/>
  <c r="K234" i="22"/>
  <c r="K169" i="22"/>
  <c r="K299" i="22" s="1"/>
  <c r="K170" i="22"/>
  <c r="K300" i="22" s="1"/>
  <c r="K106" i="22"/>
  <c r="K105" i="22"/>
  <c r="K163" i="22"/>
  <c r="D235" i="22"/>
  <c r="D238" i="22" s="1"/>
  <c r="D295" i="22" s="1"/>
  <c r="D297" i="22" s="1"/>
  <c r="D108" i="22"/>
  <c r="D165" i="22" s="1"/>
  <c r="D167" i="22" s="1"/>
  <c r="D173" i="22" s="1"/>
  <c r="D49" i="22" s="1"/>
  <c r="C195" i="22"/>
  <c r="C198" i="22" s="1"/>
  <c r="C255" i="22" s="1"/>
  <c r="C257" i="22" s="1"/>
  <c r="C263" i="22" s="1"/>
  <c r="C50" i="22" s="1"/>
  <c r="C68" i="22"/>
  <c r="C125" i="22" s="1"/>
  <c r="C127" i="22" s="1"/>
  <c r="C133" i="22" s="1"/>
  <c r="C47" i="22" s="1"/>
  <c r="E236" i="22"/>
  <c r="E237" i="22" s="1"/>
  <c r="E241" i="22" s="1"/>
  <c r="E301" i="22" s="1"/>
  <c r="E43" i="22" s="1"/>
  <c r="E107" i="22"/>
  <c r="E111" i="22" s="1"/>
  <c r="E171" i="22" s="1"/>
  <c r="E40" i="22" s="1"/>
  <c r="E129" i="22"/>
  <c r="E259" i="22" s="1"/>
  <c r="E194" i="22"/>
  <c r="E66" i="22"/>
  <c r="E130" i="22"/>
  <c r="E260" i="22" s="1"/>
  <c r="E65" i="22"/>
  <c r="E123" i="22"/>
  <c r="D68" i="22"/>
  <c r="D125" i="22" s="1"/>
  <c r="D127" i="22" s="1"/>
  <c r="D195" i="22"/>
  <c r="D198" i="22" s="1"/>
  <c r="D255" i="22" s="1"/>
  <c r="D257" i="22" s="1"/>
  <c r="D263" i="22" s="1"/>
  <c r="D50" i="22" s="1"/>
  <c r="G215" i="22"/>
  <c r="G218" i="22" s="1"/>
  <c r="G275" i="22" s="1"/>
  <c r="G277" i="22" s="1"/>
  <c r="G88" i="22"/>
  <c r="G145" i="22" s="1"/>
  <c r="G147" i="22" s="1"/>
  <c r="G153" i="22" s="1"/>
  <c r="G48" i="22" s="1"/>
  <c r="C235" i="1"/>
  <c r="C238" i="1" s="1"/>
  <c r="C295" i="1" s="1"/>
  <c r="C297" i="1" s="1"/>
  <c r="C303" i="1" s="1"/>
  <c r="C52" i="1" s="1"/>
  <c r="C108" i="1"/>
  <c r="C165" i="1" s="1"/>
  <c r="C167" i="1" s="1"/>
  <c r="C173" i="1" s="1"/>
  <c r="C49" i="1" s="1"/>
  <c r="C214" i="1"/>
  <c r="C86" i="1"/>
  <c r="C150" i="1"/>
  <c r="C280" i="1" s="1"/>
  <c r="C85" i="1"/>
  <c r="C149" i="1"/>
  <c r="C279" i="1" s="1"/>
  <c r="C143" i="1"/>
  <c r="H235" i="1"/>
  <c r="H238" i="1" s="1"/>
  <c r="H295" i="1" s="1"/>
  <c r="H297" i="1" s="1"/>
  <c r="H303" i="1" s="1"/>
  <c r="H52" i="1" s="1"/>
  <c r="H108" i="1"/>
  <c r="H165" i="1" s="1"/>
  <c r="H167" i="1" s="1"/>
  <c r="H173" i="1" s="1"/>
  <c r="H49" i="1" s="1"/>
  <c r="E216" i="1"/>
  <c r="E217" i="1" s="1"/>
  <c r="E221" i="1" s="1"/>
  <c r="E281" i="1" s="1"/>
  <c r="E42" i="1" s="1"/>
  <c r="E87" i="1"/>
  <c r="E91" i="1" s="1"/>
  <c r="F235" i="1"/>
  <c r="F238" i="1" s="1"/>
  <c r="F295" i="1" s="1"/>
  <c r="F297" i="1" s="1"/>
  <c r="F108" i="1"/>
  <c r="F165" i="1" s="1"/>
  <c r="F167" i="1" s="1"/>
  <c r="J149" i="1"/>
  <c r="J279" i="1" s="1"/>
  <c r="J214" i="1"/>
  <c r="J150" i="1"/>
  <c r="J280" i="1" s="1"/>
  <c r="J86" i="1"/>
  <c r="J85" i="1"/>
  <c r="J143" i="1"/>
  <c r="C194" i="1"/>
  <c r="C129" i="1"/>
  <c r="C259" i="1" s="1"/>
  <c r="C65" i="1"/>
  <c r="C66" i="1"/>
  <c r="C130" i="1"/>
  <c r="C260" i="1" s="1"/>
  <c r="C123" i="1"/>
  <c r="D235" i="1"/>
  <c r="D238" i="1" s="1"/>
  <c r="D295" i="1" s="1"/>
  <c r="D297" i="1" s="1"/>
  <c r="D303" i="1" s="1"/>
  <c r="D52" i="1" s="1"/>
  <c r="D108" i="1"/>
  <c r="D165" i="1" s="1"/>
  <c r="D167" i="1" s="1"/>
  <c r="D173" i="1" s="1"/>
  <c r="D49" i="1" s="1"/>
  <c r="J169" i="1"/>
  <c r="J299" i="1" s="1"/>
  <c r="J106" i="1"/>
  <c r="J170" i="1"/>
  <c r="J300" i="1" s="1"/>
  <c r="J105" i="1"/>
  <c r="J234" i="1"/>
  <c r="J163" i="1"/>
  <c r="F215" i="1"/>
  <c r="F218" i="1" s="1"/>
  <c r="F275" i="1" s="1"/>
  <c r="F277" i="1" s="1"/>
  <c r="F283" i="1" s="1"/>
  <c r="F51" i="1" s="1"/>
  <c r="F88" i="1"/>
  <c r="F145" i="1" s="1"/>
  <c r="F147" i="1" s="1"/>
  <c r="F153" i="1" s="1"/>
  <c r="F48" i="1" s="1"/>
  <c r="F130" i="1"/>
  <c r="F260" i="1" s="1"/>
  <c r="F129" i="1"/>
  <c r="F259" i="1" s="1"/>
  <c r="F66" i="1"/>
  <c r="F194" i="1"/>
  <c r="F65" i="1"/>
  <c r="F123" i="1"/>
  <c r="I215" i="1"/>
  <c r="I218" i="1" s="1"/>
  <c r="I275" i="1" s="1"/>
  <c r="I277" i="1" s="1"/>
  <c r="I88" i="1"/>
  <c r="I145" i="1" s="1"/>
  <c r="I147" i="1" s="1"/>
  <c r="I153" i="1" s="1"/>
  <c r="I48" i="1" s="1"/>
  <c r="C236" i="1"/>
  <c r="C237" i="1" s="1"/>
  <c r="C241" i="1" s="1"/>
  <c r="C301" i="1" s="1"/>
  <c r="C43" i="1" s="1"/>
  <c r="C107" i="1"/>
  <c r="C111" i="1" s="1"/>
  <c r="C171" i="1" s="1"/>
  <c r="C40" i="1" s="1"/>
  <c r="K234" i="1"/>
  <c r="K169" i="1"/>
  <c r="K299" i="1" s="1"/>
  <c r="K170" i="1"/>
  <c r="K300" i="1" s="1"/>
  <c r="K105" i="1"/>
  <c r="K106" i="1"/>
  <c r="K163" i="1"/>
  <c r="D214" i="1"/>
  <c r="D150" i="1"/>
  <c r="D280" i="1" s="1"/>
  <c r="D149" i="1"/>
  <c r="D279" i="1" s="1"/>
  <c r="D86" i="1"/>
  <c r="D85" i="1"/>
  <c r="D143" i="1"/>
  <c r="D194" i="1"/>
  <c r="D130" i="1"/>
  <c r="D260" i="1" s="1"/>
  <c r="D129" i="1"/>
  <c r="D259" i="1" s="1"/>
  <c r="D66" i="1"/>
  <c r="D65" i="1"/>
  <c r="D123" i="1"/>
  <c r="G196" i="1"/>
  <c r="G197" i="1" s="1"/>
  <c r="G201" i="1" s="1"/>
  <c r="G261" i="1" s="1"/>
  <c r="G41" i="1" s="1"/>
  <c r="G67" i="1"/>
  <c r="G71" i="1" s="1"/>
  <c r="G131" i="1" s="1"/>
  <c r="G38" i="1" s="1"/>
  <c r="E194" i="1"/>
  <c r="E130" i="1"/>
  <c r="E260" i="1" s="1"/>
  <c r="E129" i="1"/>
  <c r="E259" i="1" s="1"/>
  <c r="E66" i="1"/>
  <c r="E65" i="1"/>
  <c r="E123" i="1"/>
  <c r="H216" i="1"/>
  <c r="H217" i="1" s="1"/>
  <c r="H221" i="1" s="1"/>
  <c r="H281" i="1" s="1"/>
  <c r="H42" i="1" s="1"/>
  <c r="H87" i="1"/>
  <c r="H91" i="1" s="1"/>
  <c r="D236" i="1"/>
  <c r="D237" i="1" s="1"/>
  <c r="D241" i="1" s="1"/>
  <c r="D301" i="1" s="1"/>
  <c r="D43" i="1" s="1"/>
  <c r="D107" i="1"/>
  <c r="D111" i="1" s="1"/>
  <c r="D171" i="1" s="1"/>
  <c r="D40" i="1" s="1"/>
  <c r="G214" i="1"/>
  <c r="G86" i="1"/>
  <c r="G150" i="1"/>
  <c r="G280" i="1" s="1"/>
  <c r="G85" i="1"/>
  <c r="G149" i="1"/>
  <c r="G279" i="1" s="1"/>
  <c r="G143" i="1"/>
  <c r="I216" i="1"/>
  <c r="I217" i="1" s="1"/>
  <c r="I221" i="1" s="1"/>
  <c r="I281" i="1" s="1"/>
  <c r="I42" i="1" s="1"/>
  <c r="I87" i="1"/>
  <c r="I91" i="1" s="1"/>
  <c r="J130" i="1"/>
  <c r="J260" i="1" s="1"/>
  <c r="J194" i="1"/>
  <c r="J129" i="1"/>
  <c r="J259" i="1" s="1"/>
  <c r="J66" i="1"/>
  <c r="J65" i="1"/>
  <c r="J123" i="1"/>
  <c r="G234" i="1"/>
  <c r="G170" i="1"/>
  <c r="G300" i="1" s="1"/>
  <c r="G105" i="1"/>
  <c r="G106" i="1"/>
  <c r="G169" i="1"/>
  <c r="G299" i="1" s="1"/>
  <c r="G163" i="1"/>
  <c r="I194" i="1"/>
  <c r="I130" i="1"/>
  <c r="I260" i="1" s="1"/>
  <c r="I129" i="1"/>
  <c r="I259" i="1" s="1"/>
  <c r="I66" i="1"/>
  <c r="I65" i="1"/>
  <c r="I123" i="1"/>
  <c r="E273" i="1"/>
  <c r="E274" i="1" s="1"/>
  <c r="E144" i="1"/>
  <c r="K194" i="1"/>
  <c r="K129" i="1"/>
  <c r="K259" i="1" s="1"/>
  <c r="K130" i="1"/>
  <c r="K260" i="1" s="1"/>
  <c r="K65" i="1"/>
  <c r="K66" i="1"/>
  <c r="K123" i="1"/>
  <c r="H236" i="1"/>
  <c r="H237" i="1" s="1"/>
  <c r="H241" i="1" s="1"/>
  <c r="H301" i="1" s="1"/>
  <c r="H43" i="1" s="1"/>
  <c r="H107" i="1"/>
  <c r="H111" i="1" s="1"/>
  <c r="H171" i="1" s="1"/>
  <c r="H40" i="1" s="1"/>
  <c r="F216" i="1"/>
  <c r="F217" i="1" s="1"/>
  <c r="F221" i="1" s="1"/>
  <c r="F281" i="1" s="1"/>
  <c r="F42" i="1" s="1"/>
  <c r="F87" i="1"/>
  <c r="F91" i="1" s="1"/>
  <c r="E215" i="1"/>
  <c r="E218" i="1" s="1"/>
  <c r="E275" i="1" s="1"/>
  <c r="E277" i="1" s="1"/>
  <c r="E283" i="1" s="1"/>
  <c r="E51" i="1" s="1"/>
  <c r="E88" i="1"/>
  <c r="E145" i="1" s="1"/>
  <c r="E147" i="1" s="1"/>
  <c r="F293" i="1"/>
  <c r="F294" i="1" s="1"/>
  <c r="F164" i="1"/>
  <c r="E234" i="1"/>
  <c r="E170" i="1"/>
  <c r="E300" i="1" s="1"/>
  <c r="E169" i="1"/>
  <c r="E299" i="1" s="1"/>
  <c r="E106" i="1"/>
  <c r="E105" i="1"/>
  <c r="E163" i="1"/>
  <c r="G195" i="1"/>
  <c r="G198" i="1" s="1"/>
  <c r="G255" i="1" s="1"/>
  <c r="G257" i="1" s="1"/>
  <c r="G263" i="1" s="1"/>
  <c r="G50" i="1" s="1"/>
  <c r="G68" i="1"/>
  <c r="G125" i="1" s="1"/>
  <c r="G127" i="1" s="1"/>
  <c r="G133" i="1" s="1"/>
  <c r="G47" i="1" s="1"/>
  <c r="H194" i="1"/>
  <c r="H130" i="1"/>
  <c r="H260" i="1" s="1"/>
  <c r="H65" i="1"/>
  <c r="H129" i="1"/>
  <c r="H259" i="1" s="1"/>
  <c r="H66" i="1"/>
  <c r="H123" i="1"/>
  <c r="F236" i="1"/>
  <c r="F237" i="1" s="1"/>
  <c r="F241" i="1" s="1"/>
  <c r="F301" i="1" s="1"/>
  <c r="F43" i="1" s="1"/>
  <c r="F107" i="1"/>
  <c r="F111" i="1" s="1"/>
  <c r="F171" i="1" s="1"/>
  <c r="F40" i="1" s="1"/>
  <c r="K214" i="1"/>
  <c r="K86" i="1"/>
  <c r="K150" i="1"/>
  <c r="K280" i="1" s="1"/>
  <c r="K85" i="1"/>
  <c r="K149" i="1"/>
  <c r="K279" i="1" s="1"/>
  <c r="K143" i="1"/>
  <c r="I234" i="1"/>
  <c r="I170" i="1"/>
  <c r="I300" i="1" s="1"/>
  <c r="I169" i="1"/>
  <c r="I299" i="1" s="1"/>
  <c r="I106" i="1"/>
  <c r="I105" i="1"/>
  <c r="I163" i="1"/>
  <c r="H88" i="1"/>
  <c r="H145" i="1" s="1"/>
  <c r="H147" i="1" s="1"/>
  <c r="H153" i="1" s="1"/>
  <c r="H48" i="1" s="1"/>
  <c r="H215" i="1"/>
  <c r="H218" i="1" s="1"/>
  <c r="H275" i="1" s="1"/>
  <c r="H277" i="1" s="1"/>
  <c r="H283" i="1" s="1"/>
  <c r="H51" i="1" s="1"/>
  <c r="C88" i="22" l="1"/>
  <c r="C145" i="22" s="1"/>
  <c r="C147" i="22" s="1"/>
  <c r="F284" i="1"/>
  <c r="F33" i="1" s="1"/>
  <c r="Q42" i="22" s="1"/>
  <c r="C304" i="1"/>
  <c r="C34" i="1" s="1"/>
  <c r="N43" i="22" s="1"/>
  <c r="D304" i="1"/>
  <c r="D34" i="1" s="1"/>
  <c r="O43" i="22" s="1"/>
  <c r="D133" i="22"/>
  <c r="D47" i="22" s="1"/>
  <c r="C174" i="22"/>
  <c r="I284" i="22"/>
  <c r="I33" i="22" s="1"/>
  <c r="T33" i="22" s="1"/>
  <c r="E283" i="22"/>
  <c r="E51" i="22" s="1"/>
  <c r="G283" i="22"/>
  <c r="G51" i="22" s="1"/>
  <c r="H284" i="22"/>
  <c r="H33" i="22" s="1"/>
  <c r="S33" i="22" s="1"/>
  <c r="C303" i="22"/>
  <c r="C52" i="22" s="1"/>
  <c r="D303" i="22"/>
  <c r="D52" i="22" s="1"/>
  <c r="D304" i="22"/>
  <c r="D34" i="22" s="1"/>
  <c r="O34" i="22" s="1"/>
  <c r="K236" i="22"/>
  <c r="K237" i="22" s="1"/>
  <c r="K241" i="22" s="1"/>
  <c r="K301" i="22" s="1"/>
  <c r="K43" i="22" s="1"/>
  <c r="K107" i="22"/>
  <c r="K111" i="22" s="1"/>
  <c r="K171" i="22" s="1"/>
  <c r="K40" i="22" s="1"/>
  <c r="C178" i="22"/>
  <c r="C31" i="22"/>
  <c r="N31" i="22" s="1"/>
  <c r="E151" i="22"/>
  <c r="E39" i="22" s="1"/>
  <c r="E220" i="22"/>
  <c r="H68" i="22"/>
  <c r="H125" i="22" s="1"/>
  <c r="H127" i="22" s="1"/>
  <c r="H195" i="22"/>
  <c r="H198" i="22" s="1"/>
  <c r="H255" i="22" s="1"/>
  <c r="H257" i="22" s="1"/>
  <c r="F293" i="22"/>
  <c r="F294" i="22" s="1"/>
  <c r="F164" i="22"/>
  <c r="D134" i="22"/>
  <c r="I253" i="22"/>
  <c r="I254" i="22" s="1"/>
  <c r="I124" i="22"/>
  <c r="H220" i="22"/>
  <c r="H151" i="22"/>
  <c r="H39" i="22" s="1"/>
  <c r="E253" i="22"/>
  <c r="E254" i="22" s="1"/>
  <c r="E124" i="22"/>
  <c r="C284" i="22"/>
  <c r="C33" i="22" s="1"/>
  <c r="N33" i="22" s="1"/>
  <c r="G235" i="22"/>
  <c r="G238" i="22" s="1"/>
  <c r="G295" i="22" s="1"/>
  <c r="G297" i="22" s="1"/>
  <c r="G108" i="22"/>
  <c r="G165" i="22" s="1"/>
  <c r="G167" i="22" s="1"/>
  <c r="F215" i="22"/>
  <c r="F218" i="22" s="1"/>
  <c r="F275" i="22" s="1"/>
  <c r="F277" i="22" s="1"/>
  <c r="F88" i="22"/>
  <c r="F145" i="22" s="1"/>
  <c r="F147" i="22" s="1"/>
  <c r="C173" i="22"/>
  <c r="C49" i="22" s="1"/>
  <c r="C304" i="22"/>
  <c r="C34" i="22" s="1"/>
  <c r="N34" i="22" s="1"/>
  <c r="C220" i="22"/>
  <c r="C151" i="22"/>
  <c r="C39" i="22" s="1"/>
  <c r="I235" i="22"/>
  <c r="I238" i="22" s="1"/>
  <c r="I295" i="22" s="1"/>
  <c r="I297" i="22" s="1"/>
  <c r="I108" i="22"/>
  <c r="I165" i="22" s="1"/>
  <c r="I167" i="22" s="1"/>
  <c r="C134" i="22"/>
  <c r="C153" i="22"/>
  <c r="C48" i="22" s="1"/>
  <c r="H253" i="22"/>
  <c r="H254" i="22" s="1"/>
  <c r="H124" i="22"/>
  <c r="G195" i="22"/>
  <c r="G198" i="22" s="1"/>
  <c r="G255" i="22" s="1"/>
  <c r="G257" i="22" s="1"/>
  <c r="G68" i="22"/>
  <c r="G125" i="22" s="1"/>
  <c r="G127" i="22" s="1"/>
  <c r="C264" i="22"/>
  <c r="C32" i="22" s="1"/>
  <c r="N32" i="22" s="1"/>
  <c r="H236" i="22"/>
  <c r="H237" i="22" s="1"/>
  <c r="H241" i="22" s="1"/>
  <c r="H301" i="22" s="1"/>
  <c r="H43" i="22" s="1"/>
  <c r="H107" i="22"/>
  <c r="H111" i="22" s="1"/>
  <c r="H171" i="22" s="1"/>
  <c r="H40" i="22" s="1"/>
  <c r="F236" i="22"/>
  <c r="F237" i="22" s="1"/>
  <c r="F241" i="22" s="1"/>
  <c r="F301" i="22" s="1"/>
  <c r="F43" i="22" s="1"/>
  <c r="F107" i="22"/>
  <c r="F111" i="22" s="1"/>
  <c r="F171" i="22" s="1"/>
  <c r="F40" i="22" s="1"/>
  <c r="I151" i="22"/>
  <c r="I39" i="22" s="1"/>
  <c r="I220" i="22"/>
  <c r="D264" i="22"/>
  <c r="D32" i="22" s="1"/>
  <c r="O32" i="22" s="1"/>
  <c r="I195" i="22"/>
  <c r="I198" i="22" s="1"/>
  <c r="I255" i="22" s="1"/>
  <c r="I257" i="22" s="1"/>
  <c r="I68" i="22"/>
  <c r="I125" i="22" s="1"/>
  <c r="I127" i="22" s="1"/>
  <c r="E196" i="22"/>
  <c r="E197" i="22" s="1"/>
  <c r="E201" i="22" s="1"/>
  <c r="E261" i="22" s="1"/>
  <c r="E41" i="22" s="1"/>
  <c r="E67" i="22"/>
  <c r="E71" i="22" s="1"/>
  <c r="E131" i="22" s="1"/>
  <c r="E38" i="22" s="1"/>
  <c r="J293" i="22"/>
  <c r="J294" i="22" s="1"/>
  <c r="J164" i="22"/>
  <c r="F253" i="22"/>
  <c r="F254" i="22" s="1"/>
  <c r="F124" i="22"/>
  <c r="E195" i="22"/>
  <c r="E198" i="22" s="1"/>
  <c r="E255" i="22" s="1"/>
  <c r="E257" i="22" s="1"/>
  <c r="E68" i="22"/>
  <c r="E125" i="22" s="1"/>
  <c r="E127" i="22" s="1"/>
  <c r="K293" i="22"/>
  <c r="K294" i="22" s="1"/>
  <c r="K164" i="22"/>
  <c r="J195" i="22"/>
  <c r="J198" i="22" s="1"/>
  <c r="J255" i="22" s="1"/>
  <c r="J257" i="22" s="1"/>
  <c r="J68" i="22"/>
  <c r="J125" i="22" s="1"/>
  <c r="J127" i="22" s="1"/>
  <c r="H153" i="22"/>
  <c r="H48" i="22" s="1"/>
  <c r="G284" i="22"/>
  <c r="G33" i="22" s="1"/>
  <c r="R33" i="22" s="1"/>
  <c r="G236" i="22"/>
  <c r="G237" i="22" s="1"/>
  <c r="G241" i="22" s="1"/>
  <c r="G301" i="22" s="1"/>
  <c r="G43" i="22" s="1"/>
  <c r="G107" i="22"/>
  <c r="G111" i="22" s="1"/>
  <c r="G171" i="22" s="1"/>
  <c r="G40" i="22" s="1"/>
  <c r="E154" i="22"/>
  <c r="G220" i="22"/>
  <c r="G151" i="22"/>
  <c r="G39" i="22" s="1"/>
  <c r="K253" i="22"/>
  <c r="K254" i="22" s="1"/>
  <c r="K124" i="22"/>
  <c r="K196" i="22"/>
  <c r="K197" i="22" s="1"/>
  <c r="K201" i="22" s="1"/>
  <c r="K261" i="22" s="1"/>
  <c r="K41" i="22" s="1"/>
  <c r="K67" i="22"/>
  <c r="K71" i="22" s="1"/>
  <c r="K131" i="22" s="1"/>
  <c r="K38" i="22" s="1"/>
  <c r="C283" i="22"/>
  <c r="C51" i="22" s="1"/>
  <c r="H196" i="22"/>
  <c r="H197" i="22" s="1"/>
  <c r="H201" i="22" s="1"/>
  <c r="H261" i="22" s="1"/>
  <c r="H41" i="22" s="1"/>
  <c r="H67" i="22"/>
  <c r="H71" i="22" s="1"/>
  <c r="H131" i="22" s="1"/>
  <c r="H38" i="22" s="1"/>
  <c r="J236" i="22"/>
  <c r="J237" i="22" s="1"/>
  <c r="J241" i="22" s="1"/>
  <c r="J301" i="22" s="1"/>
  <c r="J43" i="22" s="1"/>
  <c r="J107" i="22"/>
  <c r="J111" i="22" s="1"/>
  <c r="J171" i="22" s="1"/>
  <c r="J40" i="22" s="1"/>
  <c r="E174" i="22"/>
  <c r="D220" i="22"/>
  <c r="D151" i="22"/>
  <c r="H293" i="22"/>
  <c r="H294" i="22" s="1"/>
  <c r="H164" i="22"/>
  <c r="F235" i="22"/>
  <c r="F238" i="22" s="1"/>
  <c r="F295" i="22" s="1"/>
  <c r="F297" i="22" s="1"/>
  <c r="F108" i="22"/>
  <c r="F165" i="22" s="1"/>
  <c r="F167" i="22" s="1"/>
  <c r="F195" i="22"/>
  <c r="F198" i="22" s="1"/>
  <c r="F255" i="22" s="1"/>
  <c r="F257" i="22" s="1"/>
  <c r="F68" i="22"/>
  <c r="F125" i="22" s="1"/>
  <c r="F127" i="22" s="1"/>
  <c r="K220" i="22"/>
  <c r="K151" i="22"/>
  <c r="J253" i="22"/>
  <c r="J254" i="22" s="1"/>
  <c r="J124" i="22"/>
  <c r="J67" i="22"/>
  <c r="J71" i="22" s="1"/>
  <c r="J131" i="22" s="1"/>
  <c r="J38" i="22" s="1"/>
  <c r="J196" i="22"/>
  <c r="J197" i="22" s="1"/>
  <c r="J201" i="22" s="1"/>
  <c r="J261" i="22" s="1"/>
  <c r="J41" i="22" s="1"/>
  <c r="G293" i="22"/>
  <c r="G294" i="22" s="1"/>
  <c r="G164" i="22"/>
  <c r="F216" i="22"/>
  <c r="F217" i="22" s="1"/>
  <c r="F221" i="22" s="1"/>
  <c r="F281" i="22" s="1"/>
  <c r="F42" i="22" s="1"/>
  <c r="F87" i="22"/>
  <c r="F91" i="22" s="1"/>
  <c r="I236" i="22"/>
  <c r="I237" i="22" s="1"/>
  <c r="I241" i="22" s="1"/>
  <c r="I301" i="22" s="1"/>
  <c r="I43" i="22" s="1"/>
  <c r="I107" i="22"/>
  <c r="I111" i="22" s="1"/>
  <c r="I171" i="22" s="1"/>
  <c r="I40" i="22" s="1"/>
  <c r="K195" i="22"/>
  <c r="K198" i="22" s="1"/>
  <c r="K255" i="22" s="1"/>
  <c r="K257" i="22" s="1"/>
  <c r="K68" i="22"/>
  <c r="K125" i="22" s="1"/>
  <c r="K127" i="22" s="1"/>
  <c r="K133" i="22" s="1"/>
  <c r="K47" i="22" s="1"/>
  <c r="J151" i="22"/>
  <c r="J220" i="22"/>
  <c r="H235" i="22"/>
  <c r="H238" i="22" s="1"/>
  <c r="H295" i="22" s="1"/>
  <c r="H297" i="22" s="1"/>
  <c r="H108" i="22"/>
  <c r="H165" i="22" s="1"/>
  <c r="H167" i="22" s="1"/>
  <c r="H173" i="22" s="1"/>
  <c r="H49" i="22" s="1"/>
  <c r="F196" i="22"/>
  <c r="F197" i="22" s="1"/>
  <c r="F201" i="22" s="1"/>
  <c r="F261" i="22" s="1"/>
  <c r="F41" i="22" s="1"/>
  <c r="F67" i="22"/>
  <c r="F71" i="22" s="1"/>
  <c r="F131" i="22" s="1"/>
  <c r="F38" i="22" s="1"/>
  <c r="K235" i="22"/>
  <c r="K238" i="22" s="1"/>
  <c r="K295" i="22" s="1"/>
  <c r="K297" i="22" s="1"/>
  <c r="K108" i="22"/>
  <c r="K165" i="22" s="1"/>
  <c r="K167" i="22" s="1"/>
  <c r="E284" i="22"/>
  <c r="E33" i="22" s="1"/>
  <c r="P33" i="22" s="1"/>
  <c r="F273" i="22"/>
  <c r="F274" i="22" s="1"/>
  <c r="F144" i="22"/>
  <c r="E304" i="22"/>
  <c r="E34" i="22" s="1"/>
  <c r="P34" i="22" s="1"/>
  <c r="J283" i="22"/>
  <c r="J51" i="22" s="1"/>
  <c r="J284" i="22"/>
  <c r="J33" i="22" s="1"/>
  <c r="U33" i="22" s="1"/>
  <c r="I293" i="22"/>
  <c r="I294" i="22" s="1"/>
  <c r="I164" i="22"/>
  <c r="D174" i="22"/>
  <c r="J235" i="22"/>
  <c r="J238" i="22" s="1"/>
  <c r="J295" i="22" s="1"/>
  <c r="J297" i="22" s="1"/>
  <c r="J108" i="22"/>
  <c r="J165" i="22" s="1"/>
  <c r="J167" i="22" s="1"/>
  <c r="G253" i="22"/>
  <c r="G254" i="22" s="1"/>
  <c r="G124" i="22"/>
  <c r="G196" i="22"/>
  <c r="G197" i="22" s="1"/>
  <c r="G201" i="22" s="1"/>
  <c r="G261" i="22" s="1"/>
  <c r="G41" i="22" s="1"/>
  <c r="G67" i="22"/>
  <c r="G71" i="22" s="1"/>
  <c r="G131" i="22" s="1"/>
  <c r="G38" i="22" s="1"/>
  <c r="E153" i="22"/>
  <c r="E48" i="22" s="1"/>
  <c r="K284" i="22"/>
  <c r="K33" i="22" s="1"/>
  <c r="V33" i="22" s="1"/>
  <c r="I196" i="22"/>
  <c r="I197" i="22" s="1"/>
  <c r="I201" i="22" s="1"/>
  <c r="I261" i="22" s="1"/>
  <c r="I41" i="22" s="1"/>
  <c r="I67" i="22"/>
  <c r="I71" i="22" s="1"/>
  <c r="I131" i="22" s="1"/>
  <c r="I38" i="22" s="1"/>
  <c r="H196" i="1"/>
  <c r="H197" i="1" s="1"/>
  <c r="H201" i="1" s="1"/>
  <c r="H261" i="1" s="1"/>
  <c r="H41" i="1" s="1"/>
  <c r="H67" i="1"/>
  <c r="H71" i="1" s="1"/>
  <c r="H131" i="1" s="1"/>
  <c r="H38" i="1" s="1"/>
  <c r="E235" i="1"/>
  <c r="E238" i="1" s="1"/>
  <c r="E295" i="1" s="1"/>
  <c r="E297" i="1" s="1"/>
  <c r="E108" i="1"/>
  <c r="E165" i="1" s="1"/>
  <c r="E167" i="1" s="1"/>
  <c r="G235" i="1"/>
  <c r="G238" i="1" s="1"/>
  <c r="G295" i="1" s="1"/>
  <c r="G297" i="1" s="1"/>
  <c r="G108" i="1"/>
  <c r="G165" i="1" s="1"/>
  <c r="G167" i="1" s="1"/>
  <c r="C196" i="1"/>
  <c r="C197" i="1" s="1"/>
  <c r="C201" i="1" s="1"/>
  <c r="C261" i="1" s="1"/>
  <c r="C41" i="1" s="1"/>
  <c r="C67" i="1"/>
  <c r="C71" i="1" s="1"/>
  <c r="C131" i="1" s="1"/>
  <c r="C38" i="1" s="1"/>
  <c r="I235" i="1"/>
  <c r="I238" i="1" s="1"/>
  <c r="I295" i="1" s="1"/>
  <c r="I297" i="1" s="1"/>
  <c r="I108" i="1"/>
  <c r="I165" i="1" s="1"/>
  <c r="I167" i="1" s="1"/>
  <c r="E236" i="1"/>
  <c r="E237" i="1" s="1"/>
  <c r="E241" i="1" s="1"/>
  <c r="E301" i="1" s="1"/>
  <c r="E43" i="1" s="1"/>
  <c r="E107" i="1"/>
  <c r="E111" i="1" s="1"/>
  <c r="E171" i="1" s="1"/>
  <c r="E40" i="1" s="1"/>
  <c r="F174" i="1"/>
  <c r="F220" i="1"/>
  <c r="F151" i="1"/>
  <c r="E284" i="1"/>
  <c r="E33" i="1" s="1"/>
  <c r="P42" i="22" s="1"/>
  <c r="I67" i="1"/>
  <c r="I71" i="1" s="1"/>
  <c r="I131" i="1" s="1"/>
  <c r="I38" i="1" s="1"/>
  <c r="I196" i="1"/>
  <c r="I197" i="1" s="1"/>
  <c r="I201" i="1" s="1"/>
  <c r="I261" i="1" s="1"/>
  <c r="I41" i="1" s="1"/>
  <c r="G293" i="1"/>
  <c r="G294" i="1" s="1"/>
  <c r="G164" i="1"/>
  <c r="J195" i="1"/>
  <c r="J198" i="1" s="1"/>
  <c r="J255" i="1" s="1"/>
  <c r="J257" i="1" s="1"/>
  <c r="J68" i="1"/>
  <c r="J125" i="1" s="1"/>
  <c r="J127" i="1" s="1"/>
  <c r="G273" i="1"/>
  <c r="G274" i="1" s="1"/>
  <c r="G144" i="1"/>
  <c r="G216" i="1"/>
  <c r="G217" i="1" s="1"/>
  <c r="G221" i="1" s="1"/>
  <c r="G281" i="1" s="1"/>
  <c r="G42" i="1" s="1"/>
  <c r="G87" i="1"/>
  <c r="G91" i="1" s="1"/>
  <c r="E195" i="1"/>
  <c r="E198" i="1" s="1"/>
  <c r="E255" i="1" s="1"/>
  <c r="E257" i="1" s="1"/>
  <c r="E68" i="1"/>
  <c r="E125" i="1" s="1"/>
  <c r="E127" i="1" s="1"/>
  <c r="D174" i="1"/>
  <c r="D215" i="1"/>
  <c r="D218" i="1" s="1"/>
  <c r="D275" i="1" s="1"/>
  <c r="D277" i="1" s="1"/>
  <c r="D88" i="1"/>
  <c r="D145" i="1" s="1"/>
  <c r="D147" i="1" s="1"/>
  <c r="F253" i="1"/>
  <c r="F254" i="1" s="1"/>
  <c r="F124" i="1"/>
  <c r="J293" i="1"/>
  <c r="J294" i="1" s="1"/>
  <c r="J164" i="1"/>
  <c r="J236" i="1"/>
  <c r="J237" i="1" s="1"/>
  <c r="J241" i="1" s="1"/>
  <c r="J301" i="1" s="1"/>
  <c r="J43" i="1" s="1"/>
  <c r="J107" i="1"/>
  <c r="J111" i="1" s="1"/>
  <c r="J171" i="1" s="1"/>
  <c r="J40" i="1" s="1"/>
  <c r="C195" i="1"/>
  <c r="C198" i="1" s="1"/>
  <c r="C255" i="1" s="1"/>
  <c r="C257" i="1" s="1"/>
  <c r="C68" i="1"/>
  <c r="C125" i="1" s="1"/>
  <c r="C127" i="1" s="1"/>
  <c r="J215" i="1"/>
  <c r="J218" i="1" s="1"/>
  <c r="J275" i="1" s="1"/>
  <c r="J277" i="1" s="1"/>
  <c r="J88" i="1"/>
  <c r="J145" i="1" s="1"/>
  <c r="J147" i="1" s="1"/>
  <c r="E220" i="1"/>
  <c r="E151" i="1"/>
  <c r="E39" i="1" s="1"/>
  <c r="H304" i="1"/>
  <c r="H34" i="1" s="1"/>
  <c r="S43" i="22" s="1"/>
  <c r="K215" i="1"/>
  <c r="K218" i="1" s="1"/>
  <c r="K275" i="1" s="1"/>
  <c r="K277" i="1" s="1"/>
  <c r="K88" i="1"/>
  <c r="K145" i="1" s="1"/>
  <c r="K147" i="1" s="1"/>
  <c r="I195" i="1"/>
  <c r="I198" i="1" s="1"/>
  <c r="I255" i="1" s="1"/>
  <c r="I257" i="1" s="1"/>
  <c r="I68" i="1"/>
  <c r="I125" i="1" s="1"/>
  <c r="I127" i="1" s="1"/>
  <c r="J253" i="1"/>
  <c r="J254" i="1" s="1"/>
  <c r="J124" i="1"/>
  <c r="D273" i="1"/>
  <c r="D274" i="1" s="1"/>
  <c r="D144" i="1"/>
  <c r="K235" i="1"/>
  <c r="K238" i="1" s="1"/>
  <c r="K295" i="1" s="1"/>
  <c r="K297" i="1" s="1"/>
  <c r="K303" i="1" s="1"/>
  <c r="K52" i="1" s="1"/>
  <c r="K108" i="1"/>
  <c r="K165" i="1" s="1"/>
  <c r="K167" i="1" s="1"/>
  <c r="F196" i="1"/>
  <c r="F197" i="1" s="1"/>
  <c r="F201" i="1" s="1"/>
  <c r="F261" i="1" s="1"/>
  <c r="F41" i="1" s="1"/>
  <c r="F67" i="1"/>
  <c r="F71" i="1" s="1"/>
  <c r="F131" i="1" s="1"/>
  <c r="F38" i="1" s="1"/>
  <c r="I236" i="1"/>
  <c r="I237" i="1" s="1"/>
  <c r="I241" i="1" s="1"/>
  <c r="I301" i="1" s="1"/>
  <c r="I43" i="1" s="1"/>
  <c r="I107" i="1"/>
  <c r="I111" i="1" s="1"/>
  <c r="I171" i="1" s="1"/>
  <c r="I40" i="1" s="1"/>
  <c r="K273" i="1"/>
  <c r="K274" i="1" s="1"/>
  <c r="K144" i="1"/>
  <c r="K216" i="1"/>
  <c r="K217" i="1" s="1"/>
  <c r="K221" i="1" s="1"/>
  <c r="K281" i="1" s="1"/>
  <c r="K42" i="1" s="1"/>
  <c r="K87" i="1"/>
  <c r="K91" i="1" s="1"/>
  <c r="H195" i="1"/>
  <c r="H198" i="1" s="1"/>
  <c r="H255" i="1" s="1"/>
  <c r="H257" i="1" s="1"/>
  <c r="H68" i="1"/>
  <c r="H125" i="1" s="1"/>
  <c r="H127" i="1" s="1"/>
  <c r="F304" i="1"/>
  <c r="F34" i="1" s="1"/>
  <c r="Q43" i="22" s="1"/>
  <c r="K253" i="1"/>
  <c r="K254" i="1" s="1"/>
  <c r="K124" i="1"/>
  <c r="H284" i="1"/>
  <c r="H33" i="1" s="1"/>
  <c r="S42" i="22" s="1"/>
  <c r="J196" i="1"/>
  <c r="J197" i="1" s="1"/>
  <c r="J201" i="1" s="1"/>
  <c r="J261" i="1" s="1"/>
  <c r="J41" i="1" s="1"/>
  <c r="J67" i="1"/>
  <c r="J71" i="1" s="1"/>
  <c r="J131" i="1" s="1"/>
  <c r="J38" i="1" s="1"/>
  <c r="G134" i="1"/>
  <c r="H220" i="1"/>
  <c r="H151" i="1"/>
  <c r="H39" i="1" s="1"/>
  <c r="E196" i="1"/>
  <c r="E197" i="1" s="1"/>
  <c r="E201" i="1" s="1"/>
  <c r="E261" i="1" s="1"/>
  <c r="E41" i="1" s="1"/>
  <c r="E67" i="1"/>
  <c r="E71" i="1" s="1"/>
  <c r="E131" i="1" s="1"/>
  <c r="E38" i="1" s="1"/>
  <c r="D253" i="1"/>
  <c r="D254" i="1" s="1"/>
  <c r="D124" i="1"/>
  <c r="D216" i="1"/>
  <c r="D217" i="1" s="1"/>
  <c r="D221" i="1" s="1"/>
  <c r="D281" i="1" s="1"/>
  <c r="D42" i="1" s="1"/>
  <c r="D87" i="1"/>
  <c r="D91" i="1" s="1"/>
  <c r="K293" i="1"/>
  <c r="K294" i="1" s="1"/>
  <c r="K164" i="1"/>
  <c r="F195" i="1"/>
  <c r="F198" i="1" s="1"/>
  <c r="F255" i="1" s="1"/>
  <c r="F257" i="1" s="1"/>
  <c r="F263" i="1" s="1"/>
  <c r="F50" i="1" s="1"/>
  <c r="F68" i="1"/>
  <c r="F125" i="1" s="1"/>
  <c r="F127" i="1" s="1"/>
  <c r="C253" i="1"/>
  <c r="C254" i="1" s="1"/>
  <c r="C124" i="1"/>
  <c r="J216" i="1"/>
  <c r="J217" i="1" s="1"/>
  <c r="J221" i="1" s="1"/>
  <c r="J281" i="1" s="1"/>
  <c r="J42" i="1" s="1"/>
  <c r="J87" i="1"/>
  <c r="J91" i="1" s="1"/>
  <c r="F173" i="1"/>
  <c r="F49" i="1" s="1"/>
  <c r="C273" i="1"/>
  <c r="C274" i="1" s="1"/>
  <c r="C144" i="1"/>
  <c r="C216" i="1"/>
  <c r="C217" i="1" s="1"/>
  <c r="C221" i="1" s="1"/>
  <c r="C281" i="1" s="1"/>
  <c r="C42" i="1" s="1"/>
  <c r="C87" i="1"/>
  <c r="C91" i="1" s="1"/>
  <c r="I293" i="1"/>
  <c r="I294" i="1" s="1"/>
  <c r="I304" i="1" s="1"/>
  <c r="I34" i="1" s="1"/>
  <c r="T43" i="22" s="1"/>
  <c r="I164" i="1"/>
  <c r="I174" i="1" s="1"/>
  <c r="K195" i="1"/>
  <c r="K198" i="1" s="1"/>
  <c r="K255" i="1" s="1"/>
  <c r="K257" i="1" s="1"/>
  <c r="K263" i="1" s="1"/>
  <c r="K50" i="1" s="1"/>
  <c r="K68" i="1"/>
  <c r="K125" i="1" s="1"/>
  <c r="K127" i="1" s="1"/>
  <c r="E253" i="1"/>
  <c r="E254" i="1" s="1"/>
  <c r="E124" i="1"/>
  <c r="D196" i="1"/>
  <c r="D197" i="1" s="1"/>
  <c r="D201" i="1" s="1"/>
  <c r="D261" i="1" s="1"/>
  <c r="D41" i="1" s="1"/>
  <c r="D67" i="1"/>
  <c r="D71" i="1" s="1"/>
  <c r="D131" i="1" s="1"/>
  <c r="D38" i="1" s="1"/>
  <c r="J273" i="1"/>
  <c r="J274" i="1" s="1"/>
  <c r="J284" i="1" s="1"/>
  <c r="J33" i="1" s="1"/>
  <c r="U42" i="22" s="1"/>
  <c r="J144" i="1"/>
  <c r="C215" i="1"/>
  <c r="C218" i="1" s="1"/>
  <c r="C275" i="1" s="1"/>
  <c r="C277" i="1" s="1"/>
  <c r="C88" i="1"/>
  <c r="C145" i="1" s="1"/>
  <c r="C147" i="1" s="1"/>
  <c r="H253" i="1"/>
  <c r="H254" i="1" s="1"/>
  <c r="H124" i="1"/>
  <c r="H134" i="1" s="1"/>
  <c r="E293" i="1"/>
  <c r="E294" i="1" s="1"/>
  <c r="E304" i="1" s="1"/>
  <c r="E34" i="1" s="1"/>
  <c r="P43" i="22" s="1"/>
  <c r="E164" i="1"/>
  <c r="E153" i="1"/>
  <c r="E48" i="1" s="1"/>
  <c r="K196" i="1"/>
  <c r="K197" i="1" s="1"/>
  <c r="K201" i="1" s="1"/>
  <c r="K261" i="1" s="1"/>
  <c r="K41" i="1" s="1"/>
  <c r="K67" i="1"/>
  <c r="K71" i="1" s="1"/>
  <c r="K131" i="1" s="1"/>
  <c r="K38" i="1" s="1"/>
  <c r="I253" i="1"/>
  <c r="I254" i="1" s="1"/>
  <c r="I124" i="1"/>
  <c r="I134" i="1" s="1"/>
  <c r="G236" i="1"/>
  <c r="G237" i="1" s="1"/>
  <c r="G241" i="1" s="1"/>
  <c r="G301" i="1" s="1"/>
  <c r="G43" i="1" s="1"/>
  <c r="G107" i="1"/>
  <c r="G111" i="1" s="1"/>
  <c r="G171" i="1" s="1"/>
  <c r="G40" i="1" s="1"/>
  <c r="G264" i="1"/>
  <c r="G32" i="1" s="1"/>
  <c r="R41" i="22" s="1"/>
  <c r="I220" i="1"/>
  <c r="I151" i="1"/>
  <c r="G215" i="1"/>
  <c r="G218" i="1" s="1"/>
  <c r="G275" i="1" s="1"/>
  <c r="G277" i="1" s="1"/>
  <c r="G283" i="1" s="1"/>
  <c r="G51" i="1" s="1"/>
  <c r="G88" i="1"/>
  <c r="G145" i="1" s="1"/>
  <c r="G147" i="1" s="1"/>
  <c r="G153" i="1" s="1"/>
  <c r="G48" i="1" s="1"/>
  <c r="H174" i="1"/>
  <c r="D195" i="1"/>
  <c r="D198" i="1" s="1"/>
  <c r="D255" i="1" s="1"/>
  <c r="D257" i="1" s="1"/>
  <c r="D263" i="1" s="1"/>
  <c r="D50" i="1" s="1"/>
  <c r="D68" i="1"/>
  <c r="D125" i="1" s="1"/>
  <c r="D127" i="1" s="1"/>
  <c r="K236" i="1"/>
  <c r="K237" i="1" s="1"/>
  <c r="K241" i="1" s="1"/>
  <c r="K301" i="1" s="1"/>
  <c r="K43" i="1" s="1"/>
  <c r="K107" i="1"/>
  <c r="K111" i="1" s="1"/>
  <c r="K171" i="1" s="1"/>
  <c r="K40" i="1" s="1"/>
  <c r="I283" i="1"/>
  <c r="I51" i="1" s="1"/>
  <c r="I284" i="1"/>
  <c r="I33" i="1" s="1"/>
  <c r="T42" i="22" s="1"/>
  <c r="J235" i="1"/>
  <c r="J238" i="1" s="1"/>
  <c r="J295" i="1" s="1"/>
  <c r="J297" i="1" s="1"/>
  <c r="J303" i="1" s="1"/>
  <c r="J52" i="1" s="1"/>
  <c r="J108" i="1"/>
  <c r="J165" i="1" s="1"/>
  <c r="J167" i="1" s="1"/>
  <c r="F303" i="1"/>
  <c r="F52" i="1" s="1"/>
  <c r="C174" i="1"/>
  <c r="K263" i="22" l="1"/>
  <c r="K50" i="22" s="1"/>
  <c r="J173" i="22"/>
  <c r="J49" i="22" s="1"/>
  <c r="P52" i="22"/>
  <c r="E173" i="1"/>
  <c r="E49" i="1" s="1"/>
  <c r="R51" i="22"/>
  <c r="T51" i="22"/>
  <c r="D133" i="1"/>
  <c r="D47" i="1" s="1"/>
  <c r="C283" i="1"/>
  <c r="C51" i="1" s="1"/>
  <c r="F133" i="1"/>
  <c r="F47" i="1" s="1"/>
  <c r="H263" i="1"/>
  <c r="H50" i="1" s="1"/>
  <c r="K284" i="1"/>
  <c r="K33" i="1" s="1"/>
  <c r="V42" i="22" s="1"/>
  <c r="V51" i="22" s="1"/>
  <c r="D284" i="1"/>
  <c r="D33" i="1" s="1"/>
  <c r="O42" i="22" s="1"/>
  <c r="O51" i="22" s="1"/>
  <c r="I263" i="1"/>
  <c r="I50" i="1" s="1"/>
  <c r="C133" i="1"/>
  <c r="C47" i="1" s="1"/>
  <c r="J174" i="1"/>
  <c r="J178" i="1" s="1"/>
  <c r="D153" i="1"/>
  <c r="D48" i="1" s="1"/>
  <c r="E263" i="1"/>
  <c r="E50" i="1" s="1"/>
  <c r="G304" i="1"/>
  <c r="G34" i="1" s="1"/>
  <c r="R43" i="22" s="1"/>
  <c r="U51" i="22"/>
  <c r="S51" i="22"/>
  <c r="H154" i="1"/>
  <c r="P51" i="22"/>
  <c r="N52" i="22"/>
  <c r="O52" i="22"/>
  <c r="H303" i="22"/>
  <c r="H52" i="22" s="1"/>
  <c r="F133" i="22"/>
  <c r="F47" i="22" s="1"/>
  <c r="K173" i="22"/>
  <c r="K49" i="22" s="1"/>
  <c r="C154" i="22"/>
  <c r="C177" i="22" s="1"/>
  <c r="J303" i="22"/>
  <c r="J52" i="22" s="1"/>
  <c r="H154" i="22"/>
  <c r="I304" i="22"/>
  <c r="I34" i="22" s="1"/>
  <c r="T34" i="22" s="1"/>
  <c r="T52" i="22" s="1"/>
  <c r="J264" i="22"/>
  <c r="J32" i="22" s="1"/>
  <c r="U32" i="22" s="1"/>
  <c r="H134" i="22"/>
  <c r="H176" i="22" s="1"/>
  <c r="K303" i="22"/>
  <c r="K52" i="22" s="1"/>
  <c r="F263" i="22"/>
  <c r="F50" i="22" s="1"/>
  <c r="J133" i="22"/>
  <c r="J47" i="22" s="1"/>
  <c r="I133" i="22"/>
  <c r="I47" i="22" s="1"/>
  <c r="F284" i="22"/>
  <c r="F33" i="22" s="1"/>
  <c r="Q33" i="22" s="1"/>
  <c r="Q51" i="22" s="1"/>
  <c r="E263" i="22"/>
  <c r="E50" i="22" s="1"/>
  <c r="I263" i="22"/>
  <c r="I50" i="22" s="1"/>
  <c r="E133" i="22"/>
  <c r="E47" i="22" s="1"/>
  <c r="I173" i="22"/>
  <c r="I49" i="22" s="1"/>
  <c r="F303" i="22"/>
  <c r="F52" i="22" s="1"/>
  <c r="F174" i="22"/>
  <c r="F178" i="22" s="1"/>
  <c r="F151" i="22"/>
  <c r="F39" i="22" s="1"/>
  <c r="F220" i="22"/>
  <c r="K264" i="22"/>
  <c r="K32" i="22" s="1"/>
  <c r="V32" i="22" s="1"/>
  <c r="J174" i="22"/>
  <c r="I154" i="22"/>
  <c r="K39" i="22"/>
  <c r="K154" i="22"/>
  <c r="F173" i="22"/>
  <c r="F49" i="22" s="1"/>
  <c r="D39" i="22"/>
  <c r="D154" i="22"/>
  <c r="J263" i="22"/>
  <c r="J50" i="22" s="1"/>
  <c r="J304" i="22"/>
  <c r="J34" i="22" s="1"/>
  <c r="U34" i="22" s="1"/>
  <c r="H264" i="22"/>
  <c r="H32" i="22" s="1"/>
  <c r="S32" i="22" s="1"/>
  <c r="S50" i="22" s="1"/>
  <c r="I303" i="22"/>
  <c r="I52" i="22" s="1"/>
  <c r="G173" i="22"/>
  <c r="G49" i="22" s="1"/>
  <c r="E134" i="22"/>
  <c r="I134" i="22"/>
  <c r="F304" i="22"/>
  <c r="F34" i="22" s="1"/>
  <c r="Q34" i="22" s="1"/>
  <c r="Q52" i="22" s="1"/>
  <c r="G134" i="22"/>
  <c r="J39" i="22"/>
  <c r="J154" i="22"/>
  <c r="G174" i="22"/>
  <c r="K174" i="22"/>
  <c r="F134" i="22"/>
  <c r="G133" i="22"/>
  <c r="G47" i="22" s="1"/>
  <c r="F153" i="22"/>
  <c r="F48" i="22" s="1"/>
  <c r="G303" i="22"/>
  <c r="G52" i="22" s="1"/>
  <c r="E264" i="22"/>
  <c r="E32" i="22" s="1"/>
  <c r="P32" i="22" s="1"/>
  <c r="I264" i="22"/>
  <c r="I32" i="22" s="1"/>
  <c r="T32" i="22" s="1"/>
  <c r="T50" i="22" s="1"/>
  <c r="H263" i="22"/>
  <c r="H50" i="22" s="1"/>
  <c r="H304" i="22"/>
  <c r="H34" i="22" s="1"/>
  <c r="S34" i="22" s="1"/>
  <c r="S52" i="22" s="1"/>
  <c r="D178" i="22"/>
  <c r="D31" i="22"/>
  <c r="O31" i="22" s="1"/>
  <c r="G264" i="22"/>
  <c r="G32" i="22" s="1"/>
  <c r="R32" i="22" s="1"/>
  <c r="R50" i="22" s="1"/>
  <c r="I174" i="22"/>
  <c r="H177" i="22"/>
  <c r="H30" i="22"/>
  <c r="S30" i="22" s="1"/>
  <c r="S48" i="22" s="1"/>
  <c r="G304" i="22"/>
  <c r="G34" i="22" s="1"/>
  <c r="R34" i="22" s="1"/>
  <c r="R52" i="22" s="1"/>
  <c r="J134" i="22"/>
  <c r="H174" i="22"/>
  <c r="E178" i="22"/>
  <c r="E31" i="22"/>
  <c r="P31" i="22" s="1"/>
  <c r="K134" i="22"/>
  <c r="E177" i="22"/>
  <c r="E30" i="22"/>
  <c r="P30" i="22" s="1"/>
  <c r="K304" i="22"/>
  <c r="K34" i="22" s="1"/>
  <c r="V34" i="22" s="1"/>
  <c r="F264" i="22"/>
  <c r="F32" i="22" s="1"/>
  <c r="Q32" i="22" s="1"/>
  <c r="G263" i="22"/>
  <c r="G50" i="22" s="1"/>
  <c r="C176" i="22"/>
  <c r="C29" i="22"/>
  <c r="F283" i="22"/>
  <c r="F51" i="22" s="1"/>
  <c r="G154" i="22"/>
  <c r="D176" i="22"/>
  <c r="D29" i="22"/>
  <c r="H133" i="22"/>
  <c r="H47" i="22" s="1"/>
  <c r="J31" i="1"/>
  <c r="U40" i="22" s="1"/>
  <c r="H30" i="1"/>
  <c r="S39" i="22" s="1"/>
  <c r="H177" i="1"/>
  <c r="I39" i="1"/>
  <c r="I154" i="1"/>
  <c r="H176" i="1"/>
  <c r="H29" i="1"/>
  <c r="S38" i="22" s="1"/>
  <c r="E134" i="1"/>
  <c r="I178" i="1"/>
  <c r="I31" i="1"/>
  <c r="T40" i="22" s="1"/>
  <c r="K264" i="1"/>
  <c r="K32" i="1" s="1"/>
  <c r="V41" i="22" s="1"/>
  <c r="K220" i="1"/>
  <c r="K151" i="1"/>
  <c r="K39" i="1" s="1"/>
  <c r="K173" i="1"/>
  <c r="K49" i="1" s="1"/>
  <c r="J134" i="1"/>
  <c r="K153" i="1"/>
  <c r="K48" i="1" s="1"/>
  <c r="C263" i="1"/>
  <c r="C50" i="1" s="1"/>
  <c r="J304" i="1"/>
  <c r="J34" i="1" s="1"/>
  <c r="U43" i="22" s="1"/>
  <c r="D283" i="1"/>
  <c r="D51" i="1" s="1"/>
  <c r="G220" i="1"/>
  <c r="G151" i="1"/>
  <c r="G39" i="1" s="1"/>
  <c r="J133" i="1"/>
  <c r="J47" i="1" s="1"/>
  <c r="I173" i="1"/>
  <c r="I49" i="1" s="1"/>
  <c r="G173" i="1"/>
  <c r="G49" i="1" s="1"/>
  <c r="E303" i="1"/>
  <c r="E52" i="1" s="1"/>
  <c r="K134" i="1"/>
  <c r="G284" i="1"/>
  <c r="G33" i="1" s="1"/>
  <c r="R42" i="22" s="1"/>
  <c r="J173" i="1"/>
  <c r="J49" i="1" s="1"/>
  <c r="H178" i="1"/>
  <c r="H31" i="1"/>
  <c r="S40" i="22" s="1"/>
  <c r="H264" i="1"/>
  <c r="H32" i="1" s="1"/>
  <c r="S41" i="22" s="1"/>
  <c r="S53" i="22" s="1"/>
  <c r="E264" i="1"/>
  <c r="E32" i="1" s="1"/>
  <c r="P41" i="22" s="1"/>
  <c r="C284" i="1"/>
  <c r="C33" i="1" s="1"/>
  <c r="N42" i="22" s="1"/>
  <c r="N51" i="22" s="1"/>
  <c r="C134" i="1"/>
  <c r="K174" i="1"/>
  <c r="D134" i="1"/>
  <c r="J264" i="1"/>
  <c r="J32" i="1" s="1"/>
  <c r="U41" i="22" s="1"/>
  <c r="K283" i="1"/>
  <c r="K51" i="1" s="1"/>
  <c r="J153" i="1"/>
  <c r="J48" i="1" s="1"/>
  <c r="F134" i="1"/>
  <c r="D31" i="1"/>
  <c r="O40" i="22" s="1"/>
  <c r="D178" i="1"/>
  <c r="J263" i="1"/>
  <c r="J50" i="1" s="1"/>
  <c r="F178" i="1"/>
  <c r="F31" i="1"/>
  <c r="Q40" i="22" s="1"/>
  <c r="I303" i="1"/>
  <c r="I52" i="1" s="1"/>
  <c r="G303" i="1"/>
  <c r="G52" i="1" s="1"/>
  <c r="J220" i="1"/>
  <c r="J151" i="1"/>
  <c r="J39" i="1" s="1"/>
  <c r="D220" i="1"/>
  <c r="D151" i="1"/>
  <c r="D39" i="1" s="1"/>
  <c r="G176" i="1"/>
  <c r="G29" i="1"/>
  <c r="R38" i="22" s="1"/>
  <c r="F39" i="1"/>
  <c r="F154" i="1"/>
  <c r="I176" i="1"/>
  <c r="I29" i="1"/>
  <c r="T38" i="22" s="1"/>
  <c r="C178" i="1"/>
  <c r="C31" i="1"/>
  <c r="N40" i="22" s="1"/>
  <c r="N49" i="22" s="1"/>
  <c r="I264" i="1"/>
  <c r="I32" i="1" s="1"/>
  <c r="T41" i="22" s="1"/>
  <c r="E174" i="1"/>
  <c r="C153" i="1"/>
  <c r="C48" i="1" s="1"/>
  <c r="K133" i="1"/>
  <c r="K47" i="1" s="1"/>
  <c r="C220" i="1"/>
  <c r="C151" i="1"/>
  <c r="C39" i="1" s="1"/>
  <c r="C264" i="1"/>
  <c r="C32" i="1" s="1"/>
  <c r="N41" i="22" s="1"/>
  <c r="N50" i="22" s="1"/>
  <c r="K304" i="1"/>
  <c r="K34" i="1" s="1"/>
  <c r="V43" i="22" s="1"/>
  <c r="D264" i="1"/>
  <c r="D32" i="1" s="1"/>
  <c r="O41" i="22" s="1"/>
  <c r="O50" i="22" s="1"/>
  <c r="H133" i="1"/>
  <c r="H47" i="1" s="1"/>
  <c r="I133" i="1"/>
  <c r="I47" i="1" s="1"/>
  <c r="J283" i="1"/>
  <c r="J51" i="1" s="1"/>
  <c r="F264" i="1"/>
  <c r="F32" i="1" s="1"/>
  <c r="Q41" i="22" s="1"/>
  <c r="E133" i="1"/>
  <c r="E47" i="1" s="1"/>
  <c r="G174" i="1"/>
  <c r="E154" i="1"/>
  <c r="O49" i="22" l="1"/>
  <c r="P50" i="22"/>
  <c r="U52" i="22"/>
  <c r="U50" i="22"/>
  <c r="Q50" i="22"/>
  <c r="V50" i="22"/>
  <c r="D154" i="1"/>
  <c r="V52" i="22"/>
  <c r="C30" i="22"/>
  <c r="N30" i="22" s="1"/>
  <c r="H29" i="22"/>
  <c r="F154" i="22"/>
  <c r="F177" i="22" s="1"/>
  <c r="F31" i="22"/>
  <c r="Q31" i="22" s="1"/>
  <c r="Q49" i="22" s="1"/>
  <c r="O29" i="22"/>
  <c r="N29" i="22"/>
  <c r="N54" i="22"/>
  <c r="S29" i="22"/>
  <c r="S47" i="22" s="1"/>
  <c r="D177" i="22"/>
  <c r="D30" i="22"/>
  <c r="O30" i="22" s="1"/>
  <c r="J178" i="22"/>
  <c r="J31" i="22"/>
  <c r="U31" i="22" s="1"/>
  <c r="U49" i="22" s="1"/>
  <c r="G177" i="22"/>
  <c r="G30" i="22"/>
  <c r="R30" i="22" s="1"/>
  <c r="H178" i="22"/>
  <c r="H31" i="22"/>
  <c r="S31" i="22" s="1"/>
  <c r="S49" i="22" s="1"/>
  <c r="J177" i="22"/>
  <c r="J30" i="22"/>
  <c r="U30" i="22" s="1"/>
  <c r="I176" i="22"/>
  <c r="I29" i="22"/>
  <c r="G178" i="22"/>
  <c r="G31" i="22"/>
  <c r="R31" i="22" s="1"/>
  <c r="K176" i="22"/>
  <c r="K29" i="22"/>
  <c r="J176" i="22"/>
  <c r="J29" i="22"/>
  <c r="I178" i="22"/>
  <c r="I31" i="22"/>
  <c r="T31" i="22" s="1"/>
  <c r="T49" i="22" s="1"/>
  <c r="F176" i="22"/>
  <c r="F29" i="22"/>
  <c r="E176" i="22"/>
  <c r="E29" i="22"/>
  <c r="K178" i="22"/>
  <c r="K31" i="22"/>
  <c r="V31" i="22" s="1"/>
  <c r="G176" i="22"/>
  <c r="G29" i="22"/>
  <c r="K177" i="22"/>
  <c r="K30" i="22"/>
  <c r="V30" i="22" s="1"/>
  <c r="I177" i="22"/>
  <c r="I30" i="22"/>
  <c r="T30" i="22" s="1"/>
  <c r="G154" i="1"/>
  <c r="F29" i="1"/>
  <c r="Q38" i="22" s="1"/>
  <c r="F176" i="1"/>
  <c r="D176" i="1"/>
  <c r="D29" i="1"/>
  <c r="O38" i="22" s="1"/>
  <c r="G178" i="1"/>
  <c r="G31" i="1"/>
  <c r="R40" i="22" s="1"/>
  <c r="F177" i="1"/>
  <c r="F30" i="1"/>
  <c r="Q39" i="22" s="1"/>
  <c r="K178" i="1"/>
  <c r="K31" i="1"/>
  <c r="V40" i="22" s="1"/>
  <c r="J176" i="1"/>
  <c r="J29" i="1"/>
  <c r="U38" i="22" s="1"/>
  <c r="E176" i="1"/>
  <c r="E29" i="1"/>
  <c r="P38" i="22" s="1"/>
  <c r="I177" i="1"/>
  <c r="I30" i="1"/>
  <c r="T39" i="22" s="1"/>
  <c r="T53" i="22" s="1"/>
  <c r="E178" i="1"/>
  <c r="E31" i="1"/>
  <c r="P40" i="22" s="1"/>
  <c r="P53" i="22" s="1"/>
  <c r="D177" i="1"/>
  <c r="D30" i="1"/>
  <c r="O39" i="22" s="1"/>
  <c r="E177" i="1"/>
  <c r="E30" i="1"/>
  <c r="P39" i="22" s="1"/>
  <c r="P48" i="22" s="1"/>
  <c r="K154" i="1"/>
  <c r="C176" i="1"/>
  <c r="C29" i="1"/>
  <c r="N38" i="22" s="1"/>
  <c r="K176" i="1"/>
  <c r="K29" i="1"/>
  <c r="V38" i="22" s="1"/>
  <c r="C154" i="1"/>
  <c r="J154" i="1"/>
  <c r="Q53" i="22" l="1"/>
  <c r="V49" i="22"/>
  <c r="R49" i="22"/>
  <c r="O48" i="22"/>
  <c r="N47" i="22"/>
  <c r="O53" i="22"/>
  <c r="O47" i="22"/>
  <c r="N48" i="22"/>
  <c r="T48" i="22"/>
  <c r="P49" i="22"/>
  <c r="O54" i="22"/>
  <c r="O56" i="22" s="1"/>
  <c r="F30" i="22"/>
  <c r="Q30" i="22" s="1"/>
  <c r="Q48" i="22" s="1"/>
  <c r="S54" i="22"/>
  <c r="P54" i="22"/>
  <c r="P29" i="22"/>
  <c r="P47" i="22" s="1"/>
  <c r="V29" i="22"/>
  <c r="V47" i="22" s="1"/>
  <c r="V54" i="22"/>
  <c r="T54" i="22"/>
  <c r="T29" i="22"/>
  <c r="T47" i="22" s="1"/>
  <c r="R29" i="22"/>
  <c r="R47" i="22" s="1"/>
  <c r="R54" i="22"/>
  <c r="Q29" i="22"/>
  <c r="Q47" i="22" s="1"/>
  <c r="U29" i="22"/>
  <c r="U47" i="22" s="1"/>
  <c r="U54" i="22"/>
  <c r="N56" i="22"/>
  <c r="K177" i="1"/>
  <c r="K30" i="1"/>
  <c r="V39" i="22" s="1"/>
  <c r="V53" i="22" s="1"/>
  <c r="J177" i="1"/>
  <c r="J30" i="1"/>
  <c r="U39" i="22" s="1"/>
  <c r="U53" i="22" s="1"/>
  <c r="C177" i="1"/>
  <c r="C30" i="1"/>
  <c r="N39" i="22" s="1"/>
  <c r="N53" i="22" s="1"/>
  <c r="N58" i="22" s="1"/>
  <c r="G177" i="1"/>
  <c r="G30" i="1"/>
  <c r="R39" i="22" s="1"/>
  <c r="R53" i="22" s="1"/>
  <c r="R48" i="22" l="1"/>
  <c r="V48" i="22"/>
  <c r="U48" i="22"/>
  <c r="Q54" i="22"/>
  <c r="Q58" i="22" s="1"/>
  <c r="O58" i="22"/>
  <c r="U56" i="22"/>
  <c r="U58" i="22"/>
  <c r="R56" i="22"/>
  <c r="R58" i="22"/>
  <c r="T56" i="22"/>
  <c r="T58" i="22"/>
  <c r="P56" i="22"/>
  <c r="P58" i="22"/>
  <c r="V56" i="22"/>
  <c r="V58" i="22"/>
  <c r="S56" i="22"/>
  <c r="S58" i="22"/>
  <c r="Q56" i="22" l="1"/>
</calcChain>
</file>

<file path=xl/sharedStrings.xml><?xml version="1.0" encoding="utf-8"?>
<sst xmlns="http://schemas.openxmlformats.org/spreadsheetml/2006/main" count="537" uniqueCount="118">
  <si>
    <t>Pris</t>
  </si>
  <si>
    <t>Timepris arbeide</t>
  </si>
  <si>
    <t>Tidsforbruk liten maskinpark</t>
  </si>
  <si>
    <t/>
  </si>
  <si>
    <t>Areal</t>
  </si>
  <si>
    <t>Slodding</t>
  </si>
  <si>
    <t>Harving</t>
  </si>
  <si>
    <t>Såing</t>
  </si>
  <si>
    <t>Tromling</t>
  </si>
  <si>
    <t>Dager våronn</t>
  </si>
  <si>
    <t>Tidsforbruk middels maskinpark</t>
  </si>
  <si>
    <t>Tidsforbruk stor maskinpark</t>
  </si>
  <si>
    <t>Sum vedlikehold</t>
  </si>
  <si>
    <t>Laglighetskostnader</t>
  </si>
  <si>
    <t>Rentefot</t>
  </si>
  <si>
    <t>Størrelse</t>
  </si>
  <si>
    <t>Pløying</t>
  </si>
  <si>
    <t>Plog bredde/pris</t>
  </si>
  <si>
    <t>Slodd bredde/pris</t>
  </si>
  <si>
    <t>Såbedsharv bredde/pris</t>
  </si>
  <si>
    <t>Såmaskiner bredde/pris</t>
  </si>
  <si>
    <t>Trommel bredde/pris</t>
  </si>
  <si>
    <t>Liten</t>
  </si>
  <si>
    <t>Middels</t>
  </si>
  <si>
    <t>Stor</t>
  </si>
  <si>
    <t>Avlingstap med tyngre maskinpark %</t>
  </si>
  <si>
    <t>Kapitalkostnader maskiner</t>
  </si>
  <si>
    <t>Sum kostnader liten maskinpark</t>
  </si>
  <si>
    <t>Sum kostnader middels maskinpark</t>
  </si>
  <si>
    <t>Sum kostnader stor maskinpark</t>
  </si>
  <si>
    <t>Drivstoff kostnader våronn</t>
  </si>
  <si>
    <t>Arbeidskostnader våronna</t>
  </si>
  <si>
    <t>Restverdi traktor</t>
  </si>
  <si>
    <t>Restverdi redskap</t>
  </si>
  <si>
    <t>Levetid traktor</t>
  </si>
  <si>
    <t>Tidsforbruk liten maskinpark med to traktorer og to mann</t>
  </si>
  <si>
    <t>Tidsforbruk middels maskinpark med to traktorer og to mann</t>
  </si>
  <si>
    <t>Tidsforbruk stor maskinpark med to traktorer og to mann</t>
  </si>
  <si>
    <t>Avlingstap pga tyngre på maskinpark</t>
  </si>
  <si>
    <t>Sum innkjøpspris redskaper</t>
  </si>
  <si>
    <t>Sum innkjøpspris maskinpark</t>
  </si>
  <si>
    <t>Dieselpris kr/liter</t>
  </si>
  <si>
    <t>Constant</t>
  </si>
  <si>
    <t>Tap i prosent</t>
  </si>
  <si>
    <t>Kapasitet daa per. Dag</t>
  </si>
  <si>
    <t>Salgsverdi av korn</t>
  </si>
  <si>
    <t>Jord faktor</t>
  </si>
  <si>
    <t>Arbeidskapasitet</t>
  </si>
  <si>
    <t>Jordart, avlingsreduksjon</t>
  </si>
  <si>
    <t>Jordtype x areal</t>
  </si>
  <si>
    <t>(Arbeidskapasitet)²</t>
  </si>
  <si>
    <t>Arbeidskapasitet x areal</t>
  </si>
  <si>
    <t>(Arel)²</t>
  </si>
  <si>
    <t>Jordtype x arbeidskapasitet x areal</t>
  </si>
  <si>
    <t>Avlingsnivå, kg/da Teoretisk/reelt potensial</t>
  </si>
  <si>
    <t>Timer per dag i arbeid med våronn (utenom måltider)</t>
  </si>
  <si>
    <t>Faktor, redusert kapasitet, terreng i Norge kontra Danmark</t>
  </si>
  <si>
    <t>Plog</t>
  </si>
  <si>
    <t>Slodd</t>
  </si>
  <si>
    <t>Harv</t>
  </si>
  <si>
    <t>Såmaskin</t>
  </si>
  <si>
    <t>Trommel</t>
  </si>
  <si>
    <t>Traktorens vedlikehold relatert til våronnkjøring</t>
  </si>
  <si>
    <t>Kapitalkostnader traktorens del i våronnkjøring</t>
  </si>
  <si>
    <t>Sum kostnader liten maskinpark to traktorer</t>
  </si>
  <si>
    <t>Sum kostnader middels maskinpark to traktorer</t>
  </si>
  <si>
    <t>Sum kostnader stor maskinpark to traktorer</t>
  </si>
  <si>
    <t>Annet kjøring for øvrig i året</t>
  </si>
  <si>
    <t>Bruk av traktor utenom korndrift timer per år. (Dersom det er to traktorer fordobles det i beregningen)</t>
  </si>
  <si>
    <t>km/t</t>
  </si>
  <si>
    <t>Traktor effekt hk/pris</t>
  </si>
  <si>
    <t>Sum våronnkjøring inkludert 2 timer diverse per 100 dekar</t>
  </si>
  <si>
    <t>Per traktor i året</t>
  </si>
  <si>
    <t>Levetid redskaper</t>
  </si>
  <si>
    <t>Brukstimer per år for redskapene i gjennomsnitt</t>
  </si>
  <si>
    <t>Sum maskinkostnader liten maskinpark</t>
  </si>
  <si>
    <t>Sum maskinkostnader middels maskinpark</t>
  </si>
  <si>
    <t>Sum maskinkostnader stor maskinpark</t>
  </si>
  <si>
    <t>Sum maskinkostnader liten maskinpark to traktorer</t>
  </si>
  <si>
    <t>Sum maskinkostnader middels maskipark to traktorer</t>
  </si>
  <si>
    <t>Sum maskinkostnader stor maskinpark to traktorer</t>
  </si>
  <si>
    <t>Vedlikehold plog</t>
  </si>
  <si>
    <t>Vedlikehold slodd</t>
  </si>
  <si>
    <t>Vedlikehold harv</t>
  </si>
  <si>
    <t>Vedlikehold såmaskin</t>
  </si>
  <si>
    <t>Vedlikehold trommel</t>
  </si>
  <si>
    <t>Liten 2</t>
  </si>
  <si>
    <t>Middels 2</t>
  </si>
  <si>
    <t>Stor 2</t>
  </si>
  <si>
    <t>Liten to</t>
  </si>
  <si>
    <t>Middels to</t>
  </si>
  <si>
    <t>Stor to</t>
  </si>
  <si>
    <t>Faktorer avlingtap</t>
  </si>
  <si>
    <t>Kjørehastighet</t>
  </si>
  <si>
    <t>Liten redskapspark</t>
  </si>
  <si>
    <t>Middels redskapspark</t>
  </si>
  <si>
    <t>Stor redskapspark</t>
  </si>
  <si>
    <t>Sum kjøring traktor i året</t>
  </si>
  <si>
    <t>Traktorens vedlikehold relatert til våronnkjøring utenom pløying</t>
  </si>
  <si>
    <t>Arbeidskostnader våronna utenom pløying</t>
  </si>
  <si>
    <t>Drivstoff kostnader våronn utenom pløying</t>
  </si>
  <si>
    <t>Alle kostnader</t>
  </si>
  <si>
    <t>Maskinkostnader</t>
  </si>
  <si>
    <t>Vårpløyd</t>
  </si>
  <si>
    <t>Høstpløyd</t>
  </si>
  <si>
    <t xml:space="preserve"> </t>
  </si>
  <si>
    <t>Clay/silt, mellomleire/silt</t>
  </si>
  <si>
    <t>Loam, lettleire</t>
  </si>
  <si>
    <t>Loamy sand, siltig sand/sandig silt</t>
  </si>
  <si>
    <t>Sand, grov-/mellomsand</t>
  </si>
  <si>
    <t>Pris pr kg "på jordet".</t>
  </si>
  <si>
    <t>Andel vårpløyd (0,5 betyr halve arealet)</t>
  </si>
  <si>
    <t xml:space="preserve">Jordtype: mellomleire/silt: 4, lettleire: 3,siltig sand/sandig silt: 2, grov-/mellomsand: 1 </t>
  </si>
  <si>
    <t>Differanse vår høst</t>
  </si>
  <si>
    <t>Lågest kostnad høst</t>
  </si>
  <si>
    <t>Lågest kostnad vår</t>
  </si>
  <si>
    <t>Billigst alternativ</t>
  </si>
  <si>
    <t>Nødvendig tilskudd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</si>
</sst>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 * #,##0.00_ ;_ * \-#,##0.00_ ;_ * &quot;-&quot;??_ ;_ @_ "/>
    <numFmt numFmtId="165" formatCode="0_)"/>
    <numFmt numFmtId="166" formatCode="_ * #,##0_ ;_ * \-#,##0_ ;_ * &quot;-&quot;??_ ;_ @_ "/>
    <numFmt numFmtId="167" formatCode="&quot;kr&quot;\ #,##0.00"/>
    <numFmt numFmtId="168" formatCode="0_ ;\-0\ "/>
  </numFmts>
  <fonts count="14">
    <font>
      <sz val="12"/>
      <name val="LinePrinter"/>
    </font>
    <font>
      <sz val="10"/>
      <name val="Arial"/>
      <family val="2"/>
    </font>
    <font>
      <sz val="11"/>
      <color indexed="8"/>
      <name val="LinePrinter"/>
    </font>
    <font>
      <sz val="11"/>
      <name val="LinePrinter"/>
    </font>
    <font>
      <sz val="11"/>
      <color theme="5" tint="-0.249977111117893"/>
      <name val="LinePrinter"/>
    </font>
    <font>
      <b/>
      <sz val="11"/>
      <name val="LinePrinter"/>
    </font>
    <font>
      <b/>
      <sz val="11"/>
      <color rgb="FF0070C0"/>
      <name val="LinePrinter"/>
    </font>
    <font>
      <b/>
      <sz val="11"/>
      <color indexed="8"/>
      <name val="LinePrinter"/>
    </font>
    <font>
      <sz val="11"/>
      <color theme="9" tint="-0.499984740745262"/>
      <name val="LinePrinter"/>
    </font>
    <font>
      <b/>
      <sz val="11"/>
      <color theme="9" tint="-0.499984740745262"/>
      <name val="LinePrinter"/>
    </font>
    <font>
      <sz val="11"/>
      <color rgb="FF0070C0"/>
      <name val="LinePrinter"/>
    </font>
    <font>
      <b/>
      <sz val="11"/>
      <color theme="4"/>
      <name val="LinePrinter"/>
    </font>
    <font>
      <sz val="11"/>
      <color theme="3" tint="0.39997558519241921"/>
      <name val="LinePrinter"/>
    </font>
    <font>
      <b/>
      <sz val="11"/>
      <color theme="3" tint="0.39997558519241921"/>
      <name val="LinePrinte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FAFF"/>
        <bgColor indexed="64"/>
      </patternFill>
    </fill>
    <fill>
      <patternFill patternType="solid">
        <fgColor rgb="FFBAFCC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0" borderId="1" xfId="0" applyFont="1" applyBorder="1"/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fill"/>
      <protection locked="0"/>
    </xf>
    <xf numFmtId="0" fontId="2" fillId="2" borderId="1" xfId="0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164" fontId="2" fillId="0" borderId="1" xfId="0" applyNumberFormat="1" applyFont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67" fontId="2" fillId="2" borderId="1" xfId="0" applyNumberFormat="1" applyFont="1" applyFill="1" applyBorder="1" applyProtection="1">
      <protection locked="0"/>
    </xf>
    <xf numFmtId="164" fontId="2" fillId="0" borderId="1" xfId="1" applyFont="1" applyBorder="1"/>
    <xf numFmtId="0" fontId="2" fillId="0" borderId="5" xfId="0" applyFont="1" applyBorder="1"/>
    <xf numFmtId="0" fontId="2" fillId="0" borderId="5" xfId="0" applyFont="1" applyFill="1" applyBorder="1"/>
    <xf numFmtId="43" fontId="2" fillId="0" borderId="5" xfId="0" applyNumberFormat="1" applyFont="1" applyBorder="1"/>
    <xf numFmtId="164" fontId="2" fillId="0" borderId="1" xfId="1" applyNumberFormat="1" applyFont="1" applyBorder="1"/>
    <xf numFmtId="0" fontId="2" fillId="0" borderId="1" xfId="0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166" fontId="3" fillId="0" borderId="1" xfId="1" applyNumberFormat="1" applyFont="1" applyBorder="1"/>
    <xf numFmtId="166" fontId="2" fillId="0" borderId="1" xfId="0" applyNumberFormat="1" applyFont="1" applyFill="1" applyBorder="1"/>
    <xf numFmtId="166" fontId="2" fillId="0" borderId="1" xfId="0" applyNumberFormat="1" applyFont="1" applyBorder="1"/>
    <xf numFmtId="165" fontId="2" fillId="3" borderId="1" xfId="0" applyNumberFormat="1" applyFont="1" applyFill="1" applyBorder="1" applyAlignment="1" applyProtection="1">
      <alignment horizontal="left"/>
      <protection locked="0"/>
    </xf>
    <xf numFmtId="165" fontId="2" fillId="0" borderId="1" xfId="0" applyNumberFormat="1" applyFont="1" applyBorder="1" applyAlignment="1" applyProtection="1">
      <alignment horizontal="left"/>
      <protection locked="0"/>
    </xf>
    <xf numFmtId="165" fontId="2" fillId="0" borderId="1" xfId="0" applyNumberFormat="1" applyFont="1" applyFill="1" applyBorder="1" applyAlignment="1" applyProtection="1">
      <alignment horizontal="left"/>
      <protection locked="0"/>
    </xf>
    <xf numFmtId="166" fontId="2" fillId="0" borderId="1" xfId="1" applyNumberFormat="1" applyFont="1" applyBorder="1" applyProtection="1">
      <protection locked="0"/>
    </xf>
    <xf numFmtId="166" fontId="2" fillId="0" borderId="1" xfId="1" applyNumberFormat="1" applyFont="1" applyFill="1" applyBorder="1" applyProtection="1">
      <protection locked="0"/>
    </xf>
    <xf numFmtId="165" fontId="2" fillId="3" borderId="1" xfId="0" applyNumberFormat="1" applyFont="1" applyFill="1" applyBorder="1" applyAlignment="1" applyProtection="1">
      <alignment horizontal="fill"/>
      <protection locked="0"/>
    </xf>
    <xf numFmtId="166" fontId="2" fillId="0" borderId="1" xfId="1" applyNumberFormat="1" applyFont="1" applyBorder="1"/>
    <xf numFmtId="166" fontId="2" fillId="0" borderId="1" xfId="1" applyNumberFormat="1" applyFont="1" applyFill="1" applyBorder="1"/>
    <xf numFmtId="164" fontId="2" fillId="0" borderId="1" xfId="1" applyFont="1" applyBorder="1" applyProtection="1">
      <protection locked="0"/>
    </xf>
    <xf numFmtId="164" fontId="3" fillId="0" borderId="1" xfId="1" applyFont="1" applyBorder="1"/>
    <xf numFmtId="0" fontId="2" fillId="3" borderId="1" xfId="0" applyFont="1" applyFill="1" applyBorder="1" applyAlignment="1" applyProtection="1">
      <alignment horizontal="left"/>
      <protection locked="0"/>
    </xf>
    <xf numFmtId="165" fontId="6" fillId="0" borderId="1" xfId="0" applyNumberFormat="1" applyFont="1" applyFill="1" applyBorder="1" applyAlignment="1" applyProtection="1">
      <protection locked="0"/>
    </xf>
    <xf numFmtId="166" fontId="6" fillId="0" borderId="1" xfId="1" applyNumberFormat="1" applyFont="1" applyFill="1" applyBorder="1"/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Protection="1">
      <protection locked="0"/>
    </xf>
    <xf numFmtId="166" fontId="2" fillId="0" borderId="1" xfId="1" applyNumberFormat="1" applyFont="1" applyFill="1" applyBorder="1" applyAlignment="1" applyProtection="1">
      <alignment horizontal="left"/>
      <protection locked="0"/>
    </xf>
    <xf numFmtId="165" fontId="2" fillId="0" borderId="1" xfId="0" applyNumberFormat="1" applyFont="1" applyFill="1" applyBorder="1" applyAlignment="1" applyProtection="1">
      <alignment horizontal="fill"/>
      <protection locked="0"/>
    </xf>
    <xf numFmtId="166" fontId="2" fillId="0" borderId="1" xfId="1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/>
    <xf numFmtId="166" fontId="2" fillId="3" borderId="1" xfId="1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166" fontId="2" fillId="3" borderId="1" xfId="1" applyNumberFormat="1" applyFont="1" applyFill="1" applyBorder="1"/>
    <xf numFmtId="0" fontId="2" fillId="3" borderId="1" xfId="0" applyFont="1" applyFill="1" applyBorder="1" applyAlignment="1" applyProtection="1">
      <protection locked="0"/>
    </xf>
    <xf numFmtId="166" fontId="7" fillId="3" borderId="1" xfId="1" applyNumberFormat="1" applyFont="1" applyFill="1" applyBorder="1" applyAlignment="1" applyProtection="1">
      <alignment horizontal="left"/>
      <protection locked="0"/>
    </xf>
    <xf numFmtId="166" fontId="7" fillId="0" borderId="1" xfId="1" applyNumberFormat="1" applyFont="1" applyBorder="1" applyProtection="1">
      <protection locked="0"/>
    </xf>
    <xf numFmtId="166" fontId="7" fillId="0" borderId="1" xfId="1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protection locked="0"/>
    </xf>
    <xf numFmtId="166" fontId="7" fillId="0" borderId="1" xfId="1" applyNumberFormat="1" applyFont="1" applyFill="1" applyBorder="1" applyAlignment="1" applyProtection="1">
      <alignment horizontal="left"/>
      <protection locked="0"/>
    </xf>
    <xf numFmtId="0" fontId="7" fillId="0" borderId="1" xfId="0" applyFont="1" applyFill="1" applyBorder="1"/>
    <xf numFmtId="0" fontId="7" fillId="0" borderId="1" xfId="0" applyFont="1" applyFill="1" applyBorder="1" applyProtection="1">
      <protection locked="0"/>
    </xf>
    <xf numFmtId="0" fontId="5" fillId="0" borderId="1" xfId="0" applyFont="1" applyFill="1" applyBorder="1"/>
    <xf numFmtId="0" fontId="8" fillId="0" borderId="1" xfId="0" applyFont="1" applyFill="1" applyBorder="1" applyProtection="1">
      <protection locked="0"/>
    </xf>
    <xf numFmtId="165" fontId="2" fillId="3" borderId="6" xfId="0" applyNumberFormat="1" applyFont="1" applyFill="1" applyBorder="1" applyAlignment="1" applyProtection="1">
      <alignment horizontal="left"/>
      <protection locked="0"/>
    </xf>
    <xf numFmtId="166" fontId="2" fillId="0" borderId="6" xfId="1" applyNumberFormat="1" applyFont="1" applyBorder="1" applyProtection="1">
      <protection locked="0"/>
    </xf>
    <xf numFmtId="166" fontId="2" fillId="0" borderId="6" xfId="1" applyNumberFormat="1" applyFont="1" applyFill="1" applyBorder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/>
    <xf numFmtId="0" fontId="8" fillId="0" borderId="1" xfId="0" applyFont="1" applyBorder="1"/>
    <xf numFmtId="166" fontId="4" fillId="0" borderId="1" xfId="1" applyNumberFormat="1" applyFont="1" applyBorder="1"/>
    <xf numFmtId="166" fontId="4" fillId="0" borderId="1" xfId="1" applyNumberFormat="1" applyFont="1" applyFill="1" applyBorder="1"/>
    <xf numFmtId="165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Protection="1">
      <protection locked="0"/>
    </xf>
    <xf numFmtId="165" fontId="8" fillId="0" borderId="1" xfId="0" applyNumberFormat="1" applyFont="1" applyFill="1" applyBorder="1"/>
    <xf numFmtId="0" fontId="8" fillId="0" borderId="1" xfId="0" applyFont="1" applyFill="1" applyBorder="1"/>
    <xf numFmtId="166" fontId="3" fillId="0" borderId="1" xfId="1" applyNumberFormat="1" applyFont="1" applyFill="1" applyBorder="1"/>
    <xf numFmtId="0" fontId="10" fillId="0" borderId="1" xfId="0" applyFont="1" applyBorder="1"/>
    <xf numFmtId="166" fontId="11" fillId="0" borderId="1" xfId="0" applyNumberFormat="1" applyFont="1" applyBorder="1"/>
    <xf numFmtId="165" fontId="11" fillId="0" borderId="1" xfId="0" applyNumberFormat="1" applyFont="1" applyFill="1" applyBorder="1" applyAlignment="1" applyProtection="1">
      <protection locked="0"/>
    </xf>
    <xf numFmtId="0" fontId="11" fillId="0" borderId="1" xfId="0" applyFont="1" applyFill="1" applyBorder="1"/>
    <xf numFmtId="0" fontId="11" fillId="0" borderId="1" xfId="0" applyFont="1" applyFill="1" applyBorder="1" applyProtection="1">
      <protection locked="0"/>
    </xf>
    <xf numFmtId="164" fontId="2" fillId="0" borderId="1" xfId="1" applyFont="1" applyFill="1" applyBorder="1" applyAlignment="1" applyProtection="1">
      <alignment horizontal="left"/>
      <protection locked="0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4" xfId="0" applyFont="1" applyFill="1" applyBorder="1"/>
    <xf numFmtId="0" fontId="3" fillId="3" borderId="13" xfId="0" applyFont="1" applyFill="1" applyBorder="1"/>
    <xf numFmtId="166" fontId="3" fillId="0" borderId="14" xfId="1" applyNumberFormat="1" applyFont="1" applyBorder="1"/>
    <xf numFmtId="0" fontId="2" fillId="0" borderId="4" xfId="0" applyFont="1" applyBorder="1"/>
    <xf numFmtId="0" fontId="3" fillId="3" borderId="15" xfId="0" applyFont="1" applyFill="1" applyBorder="1"/>
    <xf numFmtId="166" fontId="3" fillId="0" borderId="16" xfId="1" applyNumberFormat="1" applyFont="1" applyBorder="1"/>
    <xf numFmtId="166" fontId="3" fillId="0" borderId="17" xfId="1" applyNumberFormat="1" applyFont="1" applyBorder="1"/>
    <xf numFmtId="166" fontId="2" fillId="0" borderId="4" xfId="0" applyNumberFormat="1" applyFont="1" applyBorder="1"/>
    <xf numFmtId="0" fontId="2" fillId="0" borderId="6" xfId="0" applyFont="1" applyBorder="1"/>
    <xf numFmtId="0" fontId="2" fillId="0" borderId="6" xfId="0" applyFont="1" applyFill="1" applyBorder="1"/>
    <xf numFmtId="0" fontId="2" fillId="0" borderId="11" xfId="0" applyFont="1" applyFill="1" applyBorder="1"/>
    <xf numFmtId="166" fontId="2" fillId="0" borderId="14" xfId="0" applyNumberFormat="1" applyFont="1" applyBorder="1"/>
    <xf numFmtId="166" fontId="2" fillId="0" borderId="16" xfId="0" applyNumberFormat="1" applyFont="1" applyBorder="1"/>
    <xf numFmtId="166" fontId="2" fillId="0" borderId="17" xfId="0" applyNumberFormat="1" applyFont="1" applyBorder="1"/>
    <xf numFmtId="166" fontId="8" fillId="0" borderId="1" xfId="1" applyNumberFormat="1" applyFont="1" applyFill="1" applyBorder="1" applyProtection="1">
      <protection locked="0"/>
    </xf>
    <xf numFmtId="166" fontId="7" fillId="0" borderId="1" xfId="1" applyNumberFormat="1" applyFont="1" applyFill="1" applyBorder="1"/>
    <xf numFmtId="166" fontId="9" fillId="0" borderId="1" xfId="1" applyNumberFormat="1" applyFont="1" applyFill="1" applyBorder="1" applyProtection="1">
      <protection locked="0"/>
    </xf>
    <xf numFmtId="0" fontId="2" fillId="5" borderId="8" xfId="0" applyFont="1" applyFill="1" applyBorder="1"/>
    <xf numFmtId="0" fontId="2" fillId="5" borderId="7" xfId="0" applyFont="1" applyFill="1" applyBorder="1"/>
    <xf numFmtId="0" fontId="2" fillId="5" borderId="1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6" borderId="1" xfId="0" applyFont="1" applyFill="1" applyBorder="1"/>
    <xf numFmtId="165" fontId="12" fillId="3" borderId="5" xfId="0" applyNumberFormat="1" applyFont="1" applyFill="1" applyBorder="1" applyAlignment="1" applyProtection="1">
      <alignment horizontal="left"/>
      <protection locked="0"/>
    </xf>
    <xf numFmtId="166" fontId="12" fillId="0" borderId="5" xfId="1" applyNumberFormat="1" applyFont="1" applyBorder="1"/>
    <xf numFmtId="166" fontId="12" fillId="0" borderId="5" xfId="1" applyNumberFormat="1" applyFont="1" applyFill="1" applyBorder="1"/>
    <xf numFmtId="165" fontId="12" fillId="3" borderId="1" xfId="0" applyNumberFormat="1" applyFont="1" applyFill="1" applyBorder="1" applyAlignment="1" applyProtection="1">
      <alignment horizontal="left"/>
      <protection locked="0"/>
    </xf>
    <xf numFmtId="166" fontId="12" fillId="0" borderId="1" xfId="1" applyNumberFormat="1" applyFont="1" applyBorder="1"/>
    <xf numFmtId="166" fontId="12" fillId="0" borderId="1" xfId="1" applyNumberFormat="1" applyFont="1" applyFill="1" applyBorder="1"/>
    <xf numFmtId="165" fontId="12" fillId="3" borderId="1" xfId="0" applyNumberFormat="1" applyFont="1" applyFill="1" applyBorder="1" applyAlignment="1" applyProtection="1">
      <alignment horizontal="fill"/>
      <protection locked="0"/>
    </xf>
    <xf numFmtId="0" fontId="12" fillId="3" borderId="1" xfId="0" applyFont="1" applyFill="1" applyBorder="1" applyAlignment="1" applyProtection="1">
      <alignment horizontal="left"/>
      <protection locked="0"/>
    </xf>
    <xf numFmtId="0" fontId="13" fillId="3" borderId="1" xfId="0" applyFont="1" applyFill="1" applyBorder="1" applyAlignment="1" applyProtection="1">
      <alignment horizontal="left"/>
      <protection locked="0"/>
    </xf>
    <xf numFmtId="166" fontId="13" fillId="0" borderId="1" xfId="1" applyNumberFormat="1" applyFont="1" applyBorder="1"/>
    <xf numFmtId="0" fontId="12" fillId="0" borderId="1" xfId="0" applyFont="1" applyFill="1" applyBorder="1" applyAlignment="1" applyProtection="1">
      <alignment horizontal="left"/>
      <protection locked="0"/>
    </xf>
    <xf numFmtId="166" fontId="12" fillId="0" borderId="1" xfId="1" applyNumberFormat="1" applyFont="1" applyFill="1" applyBorder="1" applyProtection="1">
      <protection locked="0"/>
    </xf>
    <xf numFmtId="165" fontId="13" fillId="3" borderId="1" xfId="0" applyNumberFormat="1" applyFont="1" applyFill="1" applyBorder="1" applyAlignment="1" applyProtection="1">
      <alignment horizontal="left"/>
      <protection locked="0"/>
    </xf>
    <xf numFmtId="166" fontId="12" fillId="0" borderId="1" xfId="1" applyNumberFormat="1" applyFont="1" applyBorder="1" applyProtection="1">
      <protection locked="0"/>
    </xf>
    <xf numFmtId="165" fontId="13" fillId="3" borderId="1" xfId="0" applyNumberFormat="1" applyFont="1" applyFill="1" applyBorder="1" applyAlignment="1" applyProtection="1">
      <protection locked="0"/>
    </xf>
    <xf numFmtId="166" fontId="12" fillId="3" borderId="1" xfId="1" applyNumberFormat="1" applyFont="1" applyFill="1" applyBorder="1" applyProtection="1">
      <protection locked="0"/>
    </xf>
    <xf numFmtId="166" fontId="12" fillId="3" borderId="1" xfId="1" applyNumberFormat="1" applyFont="1" applyFill="1" applyBorder="1"/>
    <xf numFmtId="0" fontId="12" fillId="3" borderId="1" xfId="0" applyFont="1" applyFill="1" applyBorder="1" applyAlignment="1" applyProtection="1">
      <protection locked="0"/>
    </xf>
    <xf numFmtId="166" fontId="12" fillId="3" borderId="1" xfId="1" applyNumberFormat="1" applyFont="1" applyFill="1" applyBorder="1" applyAlignment="1" applyProtection="1">
      <alignment horizontal="left"/>
      <protection locked="0"/>
    </xf>
    <xf numFmtId="166" fontId="13" fillId="0" borderId="1" xfId="1" applyNumberFormat="1" applyFont="1" applyBorder="1" applyProtection="1">
      <protection locked="0"/>
    </xf>
    <xf numFmtId="165" fontId="12" fillId="0" borderId="1" xfId="0" applyNumberFormat="1" applyFont="1" applyFill="1" applyBorder="1" applyAlignment="1" applyProtection="1">
      <alignment horizontal="left"/>
      <protection locked="0"/>
    </xf>
    <xf numFmtId="165" fontId="12" fillId="3" borderId="1" xfId="0" applyNumberFormat="1" applyFont="1" applyFill="1" applyBorder="1"/>
    <xf numFmtId="0" fontId="12" fillId="3" borderId="1" xfId="0" applyFont="1" applyFill="1" applyBorder="1"/>
    <xf numFmtId="0" fontId="7" fillId="0" borderId="1" xfId="0" applyFont="1" applyBorder="1"/>
    <xf numFmtId="0" fontId="5" fillId="0" borderId="1" xfId="0" applyFont="1" applyBorder="1"/>
    <xf numFmtId="166" fontId="7" fillId="0" borderId="1" xfId="0" applyNumberFormat="1" applyFont="1" applyBorder="1"/>
    <xf numFmtId="168" fontId="3" fillId="0" borderId="1" xfId="0" applyNumberFormat="1" applyFont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9" fontId="2" fillId="2" borderId="1" xfId="0" applyNumberFormat="1" applyFont="1" applyFill="1" applyBorder="1" applyProtection="1"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E94E0F"/>
      <color rgb="FF00574D"/>
      <color rgb="FF009A3E"/>
      <color rgb="FF0FBB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Merkostnad med vårpløying i forhold til høstpløying</a:t>
            </a:r>
          </a:p>
          <a:p>
            <a:pPr>
              <a:defRPr/>
            </a:pPr>
            <a:r>
              <a:rPr lang="en-US"/>
              <a:t>Dette</a:t>
            </a:r>
            <a:r>
              <a:rPr lang="en-US" baseline="0"/>
              <a:t> tilsvarer hvor mye en trenger i tilskudd for ikke å tape på vårpløying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4024966653758444"/>
          <c:y val="0.14449493719221551"/>
          <c:w val="0.80095047545286335"/>
          <c:h val="0.763647690464277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Vårpløyd!$N$57:$V$57</c:f>
              <c:numCache>
                <c:formatCode>0_ ;\-0\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Vårpløyd!$N$58:$V$58</c:f>
              <c:numCache>
                <c:formatCode>_ * #\ ##0_ ;_ * \-#\ ##0_ ;_ * "-"??_ ;_ @_ </c:formatCode>
                <c:ptCount val="9"/>
                <c:pt idx="0">
                  <c:v>71.98339243436908</c:v>
                </c:pt>
                <c:pt idx="1">
                  <c:v>66.184031336572957</c:v>
                </c:pt>
                <c:pt idx="2">
                  <c:v>67.529810765999287</c:v>
                </c:pt>
                <c:pt idx="3">
                  <c:v>71.988156293296697</c:v>
                </c:pt>
                <c:pt idx="4">
                  <c:v>95.47206482874617</c:v>
                </c:pt>
                <c:pt idx="5">
                  <c:v>109.49687271715618</c:v>
                </c:pt>
                <c:pt idx="6">
                  <c:v>114.47191503716067</c:v>
                </c:pt>
                <c:pt idx="7">
                  <c:v>118.14286674799064</c:v>
                </c:pt>
                <c:pt idx="8">
                  <c:v>127.43896178745001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350056"/>
        <c:axId val="325350840"/>
      </c:barChart>
      <c:catAx>
        <c:axId val="325350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Kornareal i dekar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5350840"/>
        <c:crosses val="autoZero"/>
        <c:auto val="1"/>
        <c:lblAlgn val="ctr"/>
        <c:lblOffset val="100"/>
        <c:noMultiLvlLbl val="0"/>
      </c:catAx>
      <c:valAx>
        <c:axId val="325350840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700" baseline="0">
                    <a:solidFill>
                      <a:schemeClr val="tx1"/>
                    </a:solidFill>
                  </a:rPr>
                  <a:t>Kroner per dekar og år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535005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Høstpløyd!$B$29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Høstpløyd!$C$29:$K$29</c:f>
              <c:numCache>
                <c:formatCode>_ * #\ ##0_ ;_ * \-#\ ##0_ ;_ * "-"??_ ;_ @_ </c:formatCode>
                <c:ptCount val="9"/>
                <c:pt idx="0">
                  <c:v>664.11012448262363</c:v>
                </c:pt>
                <c:pt idx="1">
                  <c:v>572.67474458752451</c:v>
                </c:pt>
                <c:pt idx="2">
                  <c:v>571.0705114725256</c:v>
                </c:pt>
                <c:pt idx="3">
                  <c:v>600.37610567680133</c:v>
                </c:pt>
                <c:pt idx="4">
                  <c:v>640.68181043508503</c:v>
                </c:pt>
                <c:pt idx="5">
                  <c:v>684.17988216113713</c:v>
                </c:pt>
                <c:pt idx="6">
                  <c:v>734.31082127072364</c:v>
                </c:pt>
                <c:pt idx="7">
                  <c:v>787.53687862428592</c:v>
                </c:pt>
                <c:pt idx="8">
                  <c:v>843.31519964623703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Høstpløyd!$B$30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Høstpløyd!$C$30:$K$30</c:f>
              <c:numCache>
                <c:formatCode>_ * #\ ##0_ ;_ * \-#\ ##0_ ;_ * "-"??_ ;_ @_ </c:formatCode>
                <c:ptCount val="9"/>
                <c:pt idx="0">
                  <c:v>947.32207753281227</c:v>
                </c:pt>
                <c:pt idx="1">
                  <c:v>684.61576217394713</c:v>
                </c:pt>
                <c:pt idx="2">
                  <c:v>616.86115109708749</c:v>
                </c:pt>
                <c:pt idx="3">
                  <c:v>607.94127185000571</c:v>
                </c:pt>
                <c:pt idx="4">
                  <c:v>621.40208789562416</c:v>
                </c:pt>
                <c:pt idx="5">
                  <c:v>643.91741436181633</c:v>
                </c:pt>
                <c:pt idx="6">
                  <c:v>677.57750279027653</c:v>
                </c:pt>
                <c:pt idx="7">
                  <c:v>716.14159040340223</c:v>
                </c:pt>
                <c:pt idx="8">
                  <c:v>758.48159817148132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Høstpløyd!$B$31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Høstpløyd!$C$31:$K$31</c:f>
              <c:numCache>
                <c:formatCode>_ * #\ ##0_ ;_ * \-#\ ##0_ ;_ * "-"??_ ;_ @_ </c:formatCode>
                <c:ptCount val="9"/>
                <c:pt idx="0">
                  <c:v>1257.6064204482029</c:v>
                </c:pt>
                <c:pt idx="1">
                  <c:v>842.7108414926098</c:v>
                </c:pt>
                <c:pt idx="2">
                  <c:v>717.6585719068255</c:v>
                </c:pt>
                <c:pt idx="3">
                  <c:v>679.35677851866353</c:v>
                </c:pt>
                <c:pt idx="4">
                  <c:v>673.88914935703394</c:v>
                </c:pt>
                <c:pt idx="5">
                  <c:v>680.55475927394139</c:v>
                </c:pt>
                <c:pt idx="6">
                  <c:v>703.57956811407519</c:v>
                </c:pt>
                <c:pt idx="7">
                  <c:v>734.26975186835898</c:v>
                </c:pt>
                <c:pt idx="8">
                  <c:v>769.8231827814576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Høstpløyd!$B$32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Høstpløyd!$C$32:$K$32</c:f>
              <c:numCache>
                <c:formatCode>_ * #\ ##0_ ;_ * \-#\ ##0_ ;_ * "-"??_ ;_ @_ </c:formatCode>
                <c:ptCount val="9"/>
                <c:pt idx="0">
                  <c:v>890.96319440031846</c:v>
                </c:pt>
                <c:pt idx="1">
                  <c:v>682.57003997309073</c:v>
                </c:pt>
                <c:pt idx="2">
                  <c:v>617.50403892377005</c:v>
                </c:pt>
                <c:pt idx="3">
                  <c:v>601.34781516600322</c:v>
                </c:pt>
                <c:pt idx="4">
                  <c:v>605.80048803758882</c:v>
                </c:pt>
                <c:pt idx="5">
                  <c:v>618.65208956313938</c:v>
                </c:pt>
                <c:pt idx="6">
                  <c:v>642.91333077265085</c:v>
                </c:pt>
                <c:pt idx="7">
                  <c:v>676.7914322282794</c:v>
                </c:pt>
                <c:pt idx="8">
                  <c:v>713.51066255246133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Høstpløyd!$B$33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Høstpløyd!$C$33:$K$33</c:f>
              <c:numCache>
                <c:formatCode>_ * #\ ##0_ ;_ * \-#\ ##0_ ;_ * "-"??_ ;_ @_ </c:formatCode>
                <c:ptCount val="9"/>
                <c:pt idx="0">
                  <c:v>1228.7381591594346</c:v>
                </c:pt>
                <c:pt idx="1">
                  <c:v>846.72475268942367</c:v>
                </c:pt>
                <c:pt idx="2">
                  <c:v>704.09206088942074</c:v>
                </c:pt>
                <c:pt idx="3">
                  <c:v>638.02846339965708</c:v>
                </c:pt>
                <c:pt idx="4">
                  <c:v>604.21850230957273</c:v>
                </c:pt>
                <c:pt idx="5">
                  <c:v>584.2336754415137</c:v>
                </c:pt>
                <c:pt idx="6">
                  <c:v>578.89192135246549</c:v>
                </c:pt>
                <c:pt idx="7">
                  <c:v>581.33232978301089</c:v>
                </c:pt>
                <c:pt idx="8">
                  <c:v>589.55592303103901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Høstpløyd!$B$34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Høstpløyd!$C$34:$K$34</c:f>
              <c:numCache>
                <c:formatCode>_ * #\ ##0_ ;_ * \-#\ ##0_ ;_ * "-"??_ ;_ @_ </c:formatCode>
                <c:ptCount val="9"/>
                <c:pt idx="0">
                  <c:v>1468.194547450388</c:v>
                </c:pt>
                <c:pt idx="1">
                  <c:v>967.69849595603887</c:v>
                </c:pt>
                <c:pt idx="2">
                  <c:v>781.63319609942675</c:v>
                </c:pt>
                <c:pt idx="3">
                  <c:v>692.19389140156886</c:v>
                </c:pt>
                <c:pt idx="4">
                  <c:v>642.21553717329118</c:v>
                </c:pt>
                <c:pt idx="5">
                  <c:v>608.49337292436087</c:v>
                </c:pt>
                <c:pt idx="6">
                  <c:v>592.43246903471447</c:v>
                </c:pt>
                <c:pt idx="7">
                  <c:v>585.44957567432391</c:v>
                </c:pt>
                <c:pt idx="8">
                  <c:v>585.12105712479445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352016"/>
        <c:axId val="325353192"/>
      </c:lineChart>
      <c:catAx>
        <c:axId val="32535201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Kornareal i dekar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5353192"/>
        <c:crosses val="autoZero"/>
        <c:auto val="1"/>
        <c:lblAlgn val="ctr"/>
        <c:lblOffset val="100"/>
        <c:noMultiLvlLbl val="0"/>
      </c:catAx>
      <c:valAx>
        <c:axId val="325353192"/>
        <c:scaling>
          <c:orientation val="minMax"/>
          <c:max val="18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Totalkostnad i kroner per dekar og år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5352016"/>
        <c:crossesAt val="1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Vårpløyd!$B$29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Vårpløyd!$C$29:$K$29</c:f>
              <c:numCache>
                <c:formatCode>_ * #\ ##0_ ;_ * \-#\ ##0_ ;_ * "-"??_ ;_ @_ </c:formatCode>
                <c:ptCount val="9"/>
                <c:pt idx="0">
                  <c:v>736.09351691699271</c:v>
                </c:pt>
                <c:pt idx="1">
                  <c:v>638.85877592409747</c:v>
                </c:pt>
                <c:pt idx="2">
                  <c:v>638.60032223852488</c:v>
                </c:pt>
                <c:pt idx="3">
                  <c:v>672.36426197009803</c:v>
                </c:pt>
                <c:pt idx="4">
                  <c:v>717.51716916449323</c:v>
                </c:pt>
                <c:pt idx="5">
                  <c:v>766.08548298498863</c:v>
                </c:pt>
                <c:pt idx="6">
                  <c:v>821.70006446648858</c:v>
                </c:pt>
                <c:pt idx="7">
                  <c:v>880.55363020983657</c:v>
                </c:pt>
                <c:pt idx="8">
                  <c:v>942.05666632559758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Vårpløyd!$B$30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Vårpløyd!$C$30:$K$30</c:f>
              <c:numCache>
                <c:formatCode>_ * #\ ##0_ ;_ * \-#\ ##0_ ;_ * "-"??_ ;_ @_ </c:formatCode>
                <c:ptCount val="9"/>
                <c:pt idx="0">
                  <c:v>1022.9143695642572</c:v>
                </c:pt>
                <c:pt idx="1">
                  <c:v>751.08008184998323</c:v>
                </c:pt>
                <c:pt idx="2">
                  <c:v>684.35716118394578</c:v>
                </c:pt>
                <c:pt idx="3">
                  <c:v>680.24994192233135</c:v>
                </c:pt>
                <c:pt idx="4">
                  <c:v>699.6905671383189</c:v>
                </c:pt>
                <c:pt idx="5">
                  <c:v>729.24180017736126</c:v>
                </c:pt>
                <c:pt idx="6">
                  <c:v>769.90915189934094</c:v>
                </c:pt>
                <c:pt idx="7">
                  <c:v>815.67467038947279</c:v>
                </c:pt>
                <c:pt idx="8">
                  <c:v>865.34887288846687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Vårpløyd!$B$31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Vårpløyd!$C$31:$K$31</c:f>
              <c:numCache>
                <c:formatCode>_ * #\ ##0_ ;_ * \-#\ ##0_ ;_ * "-"??_ ;_ @_ </c:formatCode>
                <c:ptCount val="9"/>
                <c:pt idx="0">
                  <c:v>1333.0734006559965</c:v>
                </c:pt>
                <c:pt idx="1">
                  <c:v>905.70441233774079</c:v>
                </c:pt>
                <c:pt idx="2">
                  <c:v>780.07969285883337</c:v>
                </c:pt>
                <c:pt idx="3">
                  <c:v>745.47612234446206</c:v>
                </c:pt>
                <c:pt idx="4">
                  <c:v>745.081512591609</c:v>
                </c:pt>
                <c:pt idx="5">
                  <c:v>757.55654815631124</c:v>
                </c:pt>
                <c:pt idx="6">
                  <c:v>787.6956028607616</c:v>
                </c:pt>
                <c:pt idx="7">
                  <c:v>824.96487069857278</c:v>
                </c:pt>
                <c:pt idx="8">
                  <c:v>867.2460187985555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Vårpløyd!$B$32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Vårpløyd!$C$32:$K$32</c:f>
              <c:numCache>
                <c:formatCode>_ * #\ ##0_ ;_ * \-#\ ##0_ ;_ * "-"??_ ;_ @_ </c:formatCode>
                <c:ptCount val="9"/>
                <c:pt idx="0">
                  <c:v>1007.1816524490755</c:v>
                </c:pt>
                <c:pt idx="1">
                  <c:v>782.92508409133632</c:v>
                </c:pt>
                <c:pt idx="2">
                  <c:v>717.35499963595532</c:v>
                </c:pt>
                <c:pt idx="3">
                  <c:v>707.55023520869315</c:v>
                </c:pt>
                <c:pt idx="4">
                  <c:v>720.5337019073346</c:v>
                </c:pt>
                <c:pt idx="5">
                  <c:v>742.53571184297959</c:v>
                </c:pt>
                <c:pt idx="6">
                  <c:v>780.35292713758054</c:v>
                </c:pt>
                <c:pt idx="7">
                  <c:v>825.599514637418</c:v>
                </c:pt>
                <c:pt idx="8">
                  <c:v>873.84139680780868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Vårpløyd!$B$33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Vårpløyd!$C$33:$K$33</c:f>
              <c:numCache>
                <c:formatCode>_ * #\ ##0_ ;_ * \-#\ ##0_ ;_ * "-"??_ ;_ @_ </c:formatCode>
                <c:ptCount val="9"/>
                <c:pt idx="0">
                  <c:v>1324.2977603396489</c:v>
                </c:pt>
                <c:pt idx="1">
                  <c:v>926.36556840424271</c:v>
                </c:pt>
                <c:pt idx="2">
                  <c:v>782.40718948819131</c:v>
                </c:pt>
                <c:pt idx="3">
                  <c:v>725.00923956852057</c:v>
                </c:pt>
                <c:pt idx="4">
                  <c:v>702.39909307253708</c:v>
                </c:pt>
                <c:pt idx="5">
                  <c:v>693.73054815866988</c:v>
                </c:pt>
                <c:pt idx="6">
                  <c:v>701.87145923147432</c:v>
                </c:pt>
                <c:pt idx="7">
                  <c:v>718.31184189677526</c:v>
                </c:pt>
                <c:pt idx="8">
                  <c:v>740.88824009352504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Vårpløyd!$B$34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Vårpløyd!$C$34:$K$34</c:f>
              <c:numCache>
                <c:formatCode>_ * #\ ##0_ ;_ * \-#\ ##0_ ;_ * "-"??_ ;_ @_ </c:formatCode>
                <c:ptCount val="9"/>
                <c:pt idx="0">
                  <c:v>1544.2691766478786</c:v>
                </c:pt>
                <c:pt idx="1">
                  <c:v>1029.4421418119532</c:v>
                </c:pt>
                <c:pt idx="2">
                  <c:v>841.03985710971926</c:v>
                </c:pt>
                <c:pt idx="3">
                  <c:v>759.79902934998393</c:v>
                </c:pt>
                <c:pt idx="4">
                  <c:v>720.30055547291795</c:v>
                </c:pt>
                <c:pt idx="5">
                  <c:v>696.79788938114928</c:v>
                </c:pt>
                <c:pt idx="6">
                  <c:v>693.36383638962616</c:v>
                </c:pt>
                <c:pt idx="7">
                  <c:v>699.47519653100153</c:v>
                </c:pt>
                <c:pt idx="8">
                  <c:v>712.56001891224446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683464"/>
        <c:axId val="328676800"/>
      </c:lineChart>
      <c:catAx>
        <c:axId val="328683464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Kornareal i dekar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8676800"/>
        <c:crosses val="autoZero"/>
        <c:auto val="1"/>
        <c:lblAlgn val="ctr"/>
        <c:lblOffset val="100"/>
        <c:noMultiLvlLbl val="0"/>
      </c:catAx>
      <c:valAx>
        <c:axId val="328676800"/>
        <c:scaling>
          <c:orientation val="minMax"/>
          <c:max val="18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Totalkostnad</a:t>
                </a:r>
                <a:r>
                  <a:rPr lang="nb-NO" baseline="0"/>
                  <a:t> i kroner per dekar og år</a:t>
                </a:r>
                <a:endParaRPr lang="nb-NO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8683464"/>
        <c:crossesAt val="1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Vårpløyd!$B$38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F"/>
              </a:solidFill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Vårpløyd!$C$38:$K$38</c:f>
              <c:numCache>
                <c:formatCode>_ * #\ ##0_ ;_ * \-#\ ##0_ ;_ * "-"??_ ;_ @_ </c:formatCode>
                <c:ptCount val="9"/>
                <c:pt idx="0">
                  <c:v>290.81114260639333</c:v>
                </c:pt>
                <c:pt idx="1">
                  <c:v>347.38301987414582</c:v>
                </c:pt>
                <c:pt idx="2">
                  <c:v>402.48029027498723</c:v>
                </c:pt>
                <c:pt idx="3">
                  <c:v>461.50319125417764</c:v>
                </c:pt>
                <c:pt idx="4">
                  <c:v>521.94849223336803</c:v>
                </c:pt>
                <c:pt idx="5">
                  <c:v>582.15086608001104</c:v>
                </c:pt>
                <c:pt idx="6">
                  <c:v>645.27951493829414</c:v>
                </c:pt>
                <c:pt idx="7">
                  <c:v>709.83056379657728</c:v>
                </c:pt>
                <c:pt idx="8">
                  <c:v>775.80401265486034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Vårpløyd!$B$39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Vårpløyd!$C$39:$K$39</c:f>
              <c:numCache>
                <c:formatCode>_ * #\ ##0_ ;_ * \-#\ ##0_ ;_ * "-"??_ ;_ @_ </c:formatCode>
                <c:ptCount val="9"/>
                <c:pt idx="0">
                  <c:v>258.22145931433488</c:v>
                </c:pt>
                <c:pt idx="1">
                  <c:v>308.11228756821288</c:v>
                </c:pt>
                <c:pt idx="2">
                  <c:v>354.90008245397894</c:v>
                </c:pt>
                <c:pt idx="3">
                  <c:v>406.91901008680526</c:v>
                </c:pt>
                <c:pt idx="4">
                  <c:v>460.3603377196311</c:v>
                </c:pt>
                <c:pt idx="5">
                  <c:v>512.45443242228623</c:v>
                </c:pt>
                <c:pt idx="6">
                  <c:v>568.44071249672538</c:v>
                </c:pt>
                <c:pt idx="7">
                  <c:v>625.84939257116457</c:v>
                </c:pt>
                <c:pt idx="8">
                  <c:v>684.68047264560425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Vårpløyd!$B$40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Vårpløyd!$C$40:$K$40</c:f>
              <c:numCache>
                <c:formatCode>_ * #\ ##0_ ;_ * \-#\ ##0_ ;_ * "-"??_ ;_ @_ </c:formatCode>
                <c:ptCount val="9"/>
                <c:pt idx="0">
                  <c:v>246.31187781524298</c:v>
                </c:pt>
                <c:pt idx="1">
                  <c:v>293.33307752629798</c:v>
                </c:pt>
                <c:pt idx="2">
                  <c:v>336.16058649513303</c:v>
                </c:pt>
                <c:pt idx="3">
                  <c:v>385.06796758897434</c:v>
                </c:pt>
                <c:pt idx="4">
                  <c:v>435.39774868281472</c:v>
                </c:pt>
                <c:pt idx="5">
                  <c:v>483.57127357669134</c:v>
                </c:pt>
                <c:pt idx="6">
                  <c:v>536.3370679344838</c:v>
                </c:pt>
                <c:pt idx="7">
                  <c:v>590.52526229227601</c:v>
                </c:pt>
                <c:pt idx="8">
                  <c:v>646.13585665006849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Vårpløyd!$B$41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Vårpløyd!$C$41:$K$41</c:f>
              <c:numCache>
                <c:formatCode>_ * #\ ##0_ ;_ * \-#\ ##0_ ;_ * "-"??_ ;_ @_ </c:formatCode>
                <c:ptCount val="9"/>
                <c:pt idx="0">
                  <c:v>241.9720756333584</c:v>
                </c:pt>
                <c:pt idx="1">
                  <c:v>287.86475816886349</c:v>
                </c:pt>
                <c:pt idx="2">
                  <c:v>330.69111812260161</c:v>
                </c:pt>
                <c:pt idx="3">
                  <c:v>378.6410480809829</c:v>
                </c:pt>
                <c:pt idx="4">
                  <c:v>428.01337803936343</c:v>
                </c:pt>
                <c:pt idx="5">
                  <c:v>476.02629647352944</c:v>
                </c:pt>
                <c:pt idx="6">
                  <c:v>527.92052219009554</c:v>
                </c:pt>
                <c:pt idx="7">
                  <c:v>581.23714790666179</c:v>
                </c:pt>
                <c:pt idx="8">
                  <c:v>635.97617362322785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Vårpløyd!$B$42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Vårpløyd!$C$42:$K$42</c:f>
              <c:numCache>
                <c:formatCode>_ * #\ ##0_ ;_ * \-#\ ##0_ ;_ * "-"??_ ;_ @_ </c:formatCode>
                <c:ptCount val="9"/>
                <c:pt idx="0">
                  <c:v>205.34028906264354</c:v>
                </c:pt>
                <c:pt idx="1">
                  <c:v>237.87087357040011</c:v>
                </c:pt>
                <c:pt idx="2">
                  <c:v>266.64336026294887</c:v>
                </c:pt>
                <c:pt idx="3">
                  <c:v>300.58534352860147</c:v>
                </c:pt>
                <c:pt idx="4">
                  <c:v>335.94972679425319</c:v>
                </c:pt>
                <c:pt idx="5">
                  <c:v>368.86294844722249</c:v>
                </c:pt>
                <c:pt idx="6">
                  <c:v>406.47243659610086</c:v>
                </c:pt>
                <c:pt idx="7">
                  <c:v>445.50432474497961</c:v>
                </c:pt>
                <c:pt idx="8">
                  <c:v>485.95861289385812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Vårpløyd!$B$43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Vårpløyd!$C$43:$K$43</c:f>
              <c:numCache>
                <c:formatCode>_ * #\ ##0_ ;_ * \-#\ ##0_ ;_ * "-"??_ ;_ @_ </c:formatCode>
                <c:ptCount val="9"/>
                <c:pt idx="0">
                  <c:v>197.95934190444032</c:v>
                </c:pt>
                <c:pt idx="1">
                  <c:v>224.75066932655042</c:v>
                </c:pt>
                <c:pt idx="2">
                  <c:v>247.78275503690102</c:v>
                </c:pt>
                <c:pt idx="3">
                  <c:v>275.50164522458238</c:v>
                </c:pt>
                <c:pt idx="4">
                  <c:v>304.64293541226363</c:v>
                </c:pt>
                <c:pt idx="5">
                  <c:v>330.71464611233068</c:v>
                </c:pt>
                <c:pt idx="6">
                  <c:v>361.88316282791533</c:v>
                </c:pt>
                <c:pt idx="7">
                  <c:v>394.47407954349995</c:v>
                </c:pt>
                <c:pt idx="8">
                  <c:v>428.48739625908485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677976"/>
        <c:axId val="328678760"/>
      </c:lineChart>
      <c:catAx>
        <c:axId val="32867797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Kornareal i dekar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8678760"/>
        <c:crosses val="autoZero"/>
        <c:auto val="1"/>
        <c:lblAlgn val="ctr"/>
        <c:lblOffset val="100"/>
        <c:noMultiLvlLbl val="0"/>
      </c:catAx>
      <c:valAx>
        <c:axId val="328678760"/>
        <c:scaling>
          <c:orientation val="minMax"/>
          <c:max val="10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Laglighetskostnad i kroner per dekar og år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8677976"/>
        <c:crosses val="autoZero"/>
        <c:crossBetween val="midCat"/>
        <c:majorUnit val="100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Høstpløyd!$B$38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F"/>
              </a:solidFill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Høstpløyd!$C$38:$K$38</c:f>
              <c:numCache>
                <c:formatCode>_ * #\ ##0_ ;_ * \-#\ ##0_ ;_ * "-"??_ ;_ @_ </c:formatCode>
                <c:ptCount val="9"/>
                <c:pt idx="0">
                  <c:v>261.18096569817328</c:v>
                </c:pt>
                <c:pt idx="1">
                  <c:v>311.74138264049259</c:v>
                </c:pt>
                <c:pt idx="2">
                  <c:v>360.91725385378169</c:v>
                </c:pt>
                <c:pt idx="3">
                  <c:v>413.88645285018322</c:v>
                </c:pt>
                <c:pt idx="4">
                  <c:v>468.27805184658433</c:v>
                </c:pt>
                <c:pt idx="5">
                  <c:v>522.35832695873808</c:v>
                </c:pt>
                <c:pt idx="6">
                  <c:v>579.41009857048834</c:v>
                </c:pt>
                <c:pt idx="7">
                  <c:v>637.88427018223842</c:v>
                </c:pt>
                <c:pt idx="8">
                  <c:v>697.78084179398832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Høstpløyd!$B$39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Høstpløyd!$C$39:$K$39</c:f>
              <c:numCache>
                <c:formatCode>_ * #\ ##0_ ;_ * \-#\ ##0_ ;_ * "-"??_ ;_ @_ </c:formatCode>
                <c:ptCount val="9"/>
                <c:pt idx="0">
                  <c:v>229.22229161843501</c:v>
                </c:pt>
                <c:pt idx="1">
                  <c:v>271.45174073168982</c:v>
                </c:pt>
                <c:pt idx="2">
                  <c:v>310.8401306647865</c:v>
                </c:pt>
                <c:pt idx="3">
                  <c:v>355.08461102144668</c:v>
                </c:pt>
                <c:pt idx="4">
                  <c:v>400.75149137810661</c:v>
                </c:pt>
                <c:pt idx="5">
                  <c:v>444.97442803133163</c:v>
                </c:pt>
                <c:pt idx="6">
                  <c:v>493.12994206024473</c:v>
                </c:pt>
                <c:pt idx="7">
                  <c:v>542.7078560891573</c:v>
                </c:pt>
                <c:pt idx="8">
                  <c:v>593.70817011807014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Høstpløyd!$B$40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Høstpløyd!$C$40:$K$40</c:f>
              <c:numCache>
                <c:formatCode>_ * #\ ##0_ ;_ * \-#\ ##0_ ;_ * "-"??_ ;_ @_ </c:formatCode>
                <c:ptCount val="9"/>
                <c:pt idx="0">
                  <c:v>222.49570097704793</c:v>
                </c:pt>
                <c:pt idx="1">
                  <c:v>262.50685987811562</c:v>
                </c:pt>
                <c:pt idx="2">
                  <c:v>298.42624363560185</c:v>
                </c:pt>
                <c:pt idx="3">
                  <c:v>340.1274800978814</c:v>
                </c:pt>
                <c:pt idx="4">
                  <c:v>383.25111656016009</c:v>
                </c:pt>
                <c:pt idx="5">
                  <c:v>423.9573448390222</c:v>
                </c:pt>
                <c:pt idx="6">
                  <c:v>469.42378600180041</c:v>
                </c:pt>
                <c:pt idx="7">
                  <c:v>516.3126271645782</c:v>
                </c:pt>
                <c:pt idx="8">
                  <c:v>564.62386832735626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Høstpløyd!$B$41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Høstpløyd!$C$41:$K$41</c:f>
              <c:numCache>
                <c:formatCode>_ * #\ ##0_ ;_ * \-#\ ##0_ ;_ * "-"??_ ;_ @_ </c:formatCode>
                <c:ptCount val="9"/>
                <c:pt idx="0">
                  <c:v>207.78480422058226</c:v>
                </c:pt>
                <c:pt idx="1">
                  <c:v>241.65456610522094</c:v>
                </c:pt>
                <c:pt idx="2">
                  <c:v>273.57981537928697</c:v>
                </c:pt>
                <c:pt idx="3">
                  <c:v>309.42234137209022</c:v>
                </c:pt>
                <c:pt idx="4">
                  <c:v>346.68726736489276</c:v>
                </c:pt>
                <c:pt idx="5">
                  <c:v>382.87606807059649</c:v>
                </c:pt>
                <c:pt idx="6">
                  <c:v>422.6165392940963</c:v>
                </c:pt>
                <c:pt idx="7">
                  <c:v>463.77941051759706</c:v>
                </c:pt>
                <c:pt idx="8">
                  <c:v>506.36468174109723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Høstpløyd!$B$42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Høstpløyd!$C$42:$K$42</c:f>
              <c:numCache>
                <c:formatCode>_ * #\ ##0_ ;_ * \-#\ ##0_ ;_ * "-"??_ ;_ @_ </c:formatCode>
                <c:ptCount val="9"/>
                <c:pt idx="0">
                  <c:v>196.82339758994621</c:v>
                </c:pt>
                <c:pt idx="1">
                  <c:v>214.03122381645596</c:v>
                </c:pt>
                <c:pt idx="2">
                  <c:v>230.56732917864173</c:v>
                </c:pt>
                <c:pt idx="3">
                  <c:v>248.96041789196198</c:v>
                </c:pt>
                <c:pt idx="4">
                  <c:v>268.77590660528188</c:v>
                </c:pt>
                <c:pt idx="5">
                  <c:v>287.10666176152154</c:v>
                </c:pt>
                <c:pt idx="6">
                  <c:v>309.05461781934696</c:v>
                </c:pt>
                <c:pt idx="7">
                  <c:v>332.42497387717299</c:v>
                </c:pt>
                <c:pt idx="8">
                  <c:v>357.21772993499837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Høstpløyd!$B$43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Høstpløyd!$C$43:$K$43</c:f>
              <c:numCache>
                <c:formatCode>_ * #\ ##0_ ;_ * \-#\ ##0_ ;_ * "-"??_ ;_ @_ </c:formatCode>
                <c:ptCount val="9"/>
                <c:pt idx="0">
                  <c:v>201.03693368456888</c:v>
                </c:pt>
                <c:pt idx="1">
                  <c:v>213.80817948670557</c:v>
                </c:pt>
                <c:pt idx="2">
                  <c:v>226.76335803541579</c:v>
                </c:pt>
                <c:pt idx="3">
                  <c:v>240.0699589599744</c:v>
                </c:pt>
                <c:pt idx="4">
                  <c:v>254.79895988453254</c:v>
                </c:pt>
                <c:pt idx="5">
                  <c:v>267.6534611713513</c:v>
                </c:pt>
                <c:pt idx="6">
                  <c:v>284.22327149690744</c:v>
                </c:pt>
                <c:pt idx="7">
                  <c:v>302.21548182246335</c:v>
                </c:pt>
                <c:pt idx="8">
                  <c:v>321.63009214801968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679152"/>
        <c:axId val="328679936"/>
      </c:lineChart>
      <c:catAx>
        <c:axId val="32867915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Kornareal i dekar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8679936"/>
        <c:crosses val="autoZero"/>
        <c:auto val="1"/>
        <c:lblAlgn val="ctr"/>
        <c:lblOffset val="100"/>
        <c:noMultiLvlLbl val="0"/>
      </c:catAx>
      <c:valAx>
        <c:axId val="328679936"/>
        <c:scaling>
          <c:orientation val="minMax"/>
          <c:max val="10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Laglighetskostnad i kroner per dekar og år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8679152"/>
        <c:crosses val="autoZero"/>
        <c:crossBetween val="midCat"/>
        <c:majorUnit val="100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Vårpløyd!$M$47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Vårpløyd!$N$47:$V$47</c:f>
              <c:numCache>
                <c:formatCode>_ * #\ ##0_ ;_ * \-#\ ##0_ ;_ * "-"??_ ;_ @_ </c:formatCode>
                <c:ptCount val="9"/>
                <c:pt idx="0">
                  <c:v>71.98339243436908</c:v>
                </c:pt>
                <c:pt idx="1">
                  <c:v>66.184031336572957</c:v>
                </c:pt>
                <c:pt idx="2">
                  <c:v>67.529810765999287</c:v>
                </c:pt>
                <c:pt idx="3">
                  <c:v>71.988156293296697</c:v>
                </c:pt>
                <c:pt idx="4">
                  <c:v>76.835358729408199</c:v>
                </c:pt>
                <c:pt idx="5">
                  <c:v>81.905600823851501</c:v>
                </c:pt>
                <c:pt idx="6">
                  <c:v>87.389243195764948</c:v>
                </c:pt>
                <c:pt idx="7">
                  <c:v>93.016751585550651</c:v>
                </c:pt>
                <c:pt idx="8">
                  <c:v>98.741466679360542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Vårpløyd!$M$48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Vårpløyd!$N$48:$V$48</c:f>
              <c:numCache>
                <c:formatCode>_ * #\ ##0_ ;_ * \-#\ ##0_ ;_ * "-"??_ ;_ @_ </c:formatCode>
                <c:ptCount val="9"/>
                <c:pt idx="0">
                  <c:v>75.592292031444913</c:v>
                </c:pt>
                <c:pt idx="1">
                  <c:v>66.464319676036098</c:v>
                </c:pt>
                <c:pt idx="2">
                  <c:v>67.496010086858291</c:v>
                </c:pt>
                <c:pt idx="3">
                  <c:v>72.30867007232564</c:v>
                </c:pt>
                <c:pt idx="4">
                  <c:v>78.288479242694734</c:v>
                </c:pt>
                <c:pt idx="5">
                  <c:v>85.324385815544929</c:v>
                </c:pt>
                <c:pt idx="6">
                  <c:v>92.331649109064415</c:v>
                </c:pt>
                <c:pt idx="7">
                  <c:v>99.533079986070561</c:v>
                </c:pt>
                <c:pt idx="8">
                  <c:v>106.86727471698555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Vårpløyd!$M$49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Vårpløyd!$N$49:$V$49</c:f>
              <c:numCache>
                <c:formatCode>_ * #\ ##0_ ;_ * \-#\ ##0_ ;_ * "-"??_ ;_ @_ </c:formatCode>
                <c:ptCount val="9"/>
                <c:pt idx="0">
                  <c:v>75.46698020779354</c:v>
                </c:pt>
                <c:pt idx="1">
                  <c:v>62.993570845130989</c:v>
                </c:pt>
                <c:pt idx="2">
                  <c:v>62.421120952007868</c:v>
                </c:pt>
                <c:pt idx="3">
                  <c:v>66.119343825798524</c:v>
                </c:pt>
                <c:pt idx="4">
                  <c:v>71.192363234575055</c:v>
                </c:pt>
                <c:pt idx="5">
                  <c:v>77.001788882369851</c:v>
                </c:pt>
                <c:pt idx="6">
                  <c:v>84.11603474668641</c:v>
                </c:pt>
                <c:pt idx="7">
                  <c:v>90.695118830213801</c:v>
                </c:pt>
                <c:pt idx="8">
                  <c:v>97.422836017097893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Vårpløyd!$M$50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Vårpløyd!$N$50:$V$50</c:f>
              <c:numCache>
                <c:formatCode>_ * #\ ##0_ ;_ * \-#\ ##0_ ;_ * "-"??_ ;_ @_ </c:formatCode>
                <c:ptCount val="9"/>
                <c:pt idx="0">
                  <c:v>116.21845804875704</c:v>
                </c:pt>
                <c:pt idx="1">
                  <c:v>100.35504411824559</c:v>
                </c:pt>
                <c:pt idx="2">
                  <c:v>99.85096071218527</c:v>
                </c:pt>
                <c:pt idx="3">
                  <c:v>106.20242004268994</c:v>
                </c:pt>
                <c:pt idx="4">
                  <c:v>114.73321386974578</c:v>
                </c:pt>
                <c:pt idx="5">
                  <c:v>123.88362227984021</c:v>
                </c:pt>
                <c:pt idx="6">
                  <c:v>137.43959636492968</c:v>
                </c:pt>
                <c:pt idx="7">
                  <c:v>148.80808240913859</c:v>
                </c:pt>
                <c:pt idx="8">
                  <c:v>160.33073425534735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Vårpløyd!$M$51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Vårpløyd!$N$51:$V$51</c:f>
              <c:numCache>
                <c:formatCode>_ * #\ ##0_ ;_ * \-#\ ##0_ ;_ * "-"??_ ;_ @_ </c:formatCode>
                <c:ptCount val="9"/>
                <c:pt idx="0">
                  <c:v>95.559601180214258</c:v>
                </c:pt>
                <c:pt idx="1">
                  <c:v>79.640815714819041</c:v>
                </c:pt>
                <c:pt idx="2">
                  <c:v>78.315128598770571</c:v>
                </c:pt>
                <c:pt idx="3">
                  <c:v>86.980776168863486</c:v>
                </c:pt>
                <c:pt idx="4">
                  <c:v>98.180590762964357</c:v>
                </c:pt>
                <c:pt idx="5">
                  <c:v>109.49687271715618</c:v>
                </c:pt>
                <c:pt idx="6">
                  <c:v>122.97953787900883</c:v>
                </c:pt>
                <c:pt idx="7">
                  <c:v>136.97951211376437</c:v>
                </c:pt>
                <c:pt idx="8">
                  <c:v>151.33231706248603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Vårpløyd!$M$52</c:f>
              <c:strCache>
                <c:ptCount val="1"/>
                <c:pt idx="0">
                  <c:v>Stor to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Vårpløyd!$N$52:$V$52</c:f>
              <c:numCache>
                <c:formatCode>_ * #\ ##0_ ;_ * \-#\ ##0_ ;_ * "-"??_ ;_ @_ </c:formatCode>
                <c:ptCount val="9"/>
                <c:pt idx="0">
                  <c:v>76.074629197490594</c:v>
                </c:pt>
                <c:pt idx="1">
                  <c:v>61.743645855914338</c:v>
                </c:pt>
                <c:pt idx="2">
                  <c:v>59.40666101029251</c:v>
                </c:pt>
                <c:pt idx="3">
                  <c:v>67.605137948415063</c:v>
                </c:pt>
                <c:pt idx="4">
                  <c:v>78.085018299626768</c:v>
                </c:pt>
                <c:pt idx="5">
                  <c:v>88.304516456788406</c:v>
                </c:pt>
                <c:pt idx="6">
                  <c:v>100.93136735491169</c:v>
                </c:pt>
                <c:pt idx="7">
                  <c:v>114.02562085667762</c:v>
                </c:pt>
                <c:pt idx="8">
                  <c:v>127.43896178745001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681112"/>
        <c:axId val="328680720"/>
      </c:lineChart>
      <c:catAx>
        <c:axId val="32868111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700" baseline="0">
                    <a:solidFill>
                      <a:schemeClr val="tx1"/>
                    </a:solidFill>
                  </a:rPr>
                  <a:t>Kornareal i dekar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8680720"/>
        <c:crosses val="autoZero"/>
        <c:auto val="1"/>
        <c:lblAlgn val="ctr"/>
        <c:lblOffset val="100"/>
        <c:noMultiLvlLbl val="0"/>
      </c:catAx>
      <c:valAx>
        <c:axId val="328680720"/>
        <c:scaling>
          <c:orientation val="minMax"/>
          <c:max val="3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700" baseline="0">
                    <a:solidFill>
                      <a:schemeClr val="tx1"/>
                    </a:solidFill>
                  </a:rPr>
                  <a:t>Merkostnad i kroner per dekar og år </a:t>
                </a:r>
              </a:p>
              <a:p>
                <a:pPr>
                  <a:defRPr sz="1700">
                    <a:solidFill>
                      <a:schemeClr val="tx1"/>
                    </a:solidFill>
                  </a:defRPr>
                </a:pPr>
                <a:r>
                  <a:rPr lang="en-US" sz="1700" baseline="0">
                    <a:solidFill>
                      <a:schemeClr val="tx1"/>
                    </a:solidFill>
                  </a:rPr>
                  <a:t>med vårpløying i stedet for høspløying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28681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22860"/>
    <xdr:ext cx="6713220" cy="4480560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842760" y="30480"/>
    <xdr:ext cx="7086600" cy="4511040"/>
    <xdr:graphicFrame macro="">
      <xdr:nvGraphicFramePr>
        <xdr:cNvPr id="4" name="Diagram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338060" y="76200"/>
    <xdr:ext cx="6728459" cy="47167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0"/>
    <xdr:ext cx="7292340" cy="4808220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caluser/Documents/Riley/Modellene/East%20(S)%20Mekaniseringskostnad%20%20v&#229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østpløyd"/>
      <sheetName val="Vårpløyd"/>
      <sheetName val="Tilskudd per daa"/>
      <sheetName val="Begge total"/>
      <sheetName val="Begge laglig"/>
      <sheetName val="Merkostnad med vårpløying"/>
      <sheetName val="Alle høst"/>
      <sheetName val="Alle vår"/>
      <sheetName val="Laglig vår "/>
      <sheetName val="Laglig høst"/>
    </sheetNames>
    <sheetDataSet>
      <sheetData sheetId="0">
        <row r="28">
          <cell r="B28" t="str">
            <v>Areal</v>
          </cell>
          <cell r="C28">
            <v>200</v>
          </cell>
          <cell r="D28">
            <v>400</v>
          </cell>
          <cell r="E28">
            <v>600</v>
          </cell>
          <cell r="F28">
            <v>800</v>
          </cell>
          <cell r="G28">
            <v>1000</v>
          </cell>
          <cell r="H28">
            <v>1200</v>
          </cell>
          <cell r="I28">
            <v>1400</v>
          </cell>
          <cell r="J28">
            <v>1600</v>
          </cell>
          <cell r="K28">
            <v>1800</v>
          </cell>
        </row>
        <row r="29">
          <cell r="B29" t="str">
            <v>Liten</v>
          </cell>
        </row>
        <row r="30">
          <cell r="B30" t="str">
            <v>Middels</v>
          </cell>
        </row>
        <row r="31">
          <cell r="B31" t="str">
            <v>Stor</v>
          </cell>
        </row>
        <row r="32">
          <cell r="B32" t="str">
            <v>Liten to</v>
          </cell>
        </row>
        <row r="33">
          <cell r="B33" t="str">
            <v>Middels to</v>
          </cell>
        </row>
        <row r="34">
          <cell r="B34" t="str">
            <v>Stor to</v>
          </cell>
        </row>
        <row r="37">
          <cell r="B37" t="str">
            <v>Areal</v>
          </cell>
        </row>
        <row r="38">
          <cell r="B38" t="str">
            <v>Liten</v>
          </cell>
        </row>
        <row r="39">
          <cell r="B39" t="str">
            <v>Middels</v>
          </cell>
        </row>
        <row r="40">
          <cell r="B40" t="str">
            <v>Stor</v>
          </cell>
        </row>
        <row r="41">
          <cell r="B41" t="str">
            <v>Liten to</v>
          </cell>
        </row>
        <row r="42">
          <cell r="B42" t="str">
            <v>Middels to</v>
          </cell>
        </row>
        <row r="43">
          <cell r="B43" t="str">
            <v>Stor 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C510"/>
  <sheetViews>
    <sheetView zoomScale="75" zoomScaleNormal="75" workbookViewId="0">
      <selection activeCell="D18" sqref="D18"/>
    </sheetView>
  </sheetViews>
  <sheetFormatPr baseColWidth="10" defaultColWidth="9.81640625" defaultRowHeight="13.8"/>
  <cols>
    <col min="1" max="1" width="81" style="5" customWidth="1"/>
    <col min="2" max="2" width="1.54296875" style="5" customWidth="1"/>
    <col min="3" max="3" width="11.90625" style="5" customWidth="1"/>
    <col min="4" max="8" width="10.6328125" style="5" customWidth="1"/>
    <col min="9" max="11" width="12.1796875" style="5" customWidth="1"/>
    <col min="12" max="12" width="12.1796875" style="12" customWidth="1"/>
    <col min="13" max="13" width="12.1796875" style="5" customWidth="1"/>
    <col min="14" max="14" width="13.6328125" style="5" bestFit="1" customWidth="1"/>
    <col min="15" max="20" width="12.1796875" style="5" customWidth="1"/>
    <col min="21" max="22" width="7.81640625" style="5" customWidth="1"/>
    <col min="23" max="23" width="10.453125" style="5" customWidth="1"/>
    <col min="24" max="24" width="22.54296875" style="5" bestFit="1" customWidth="1"/>
    <col min="25" max="25" width="12.08984375" style="5" bestFit="1" customWidth="1"/>
    <col min="26" max="26" width="12.453125" style="5" bestFit="1" customWidth="1"/>
    <col min="27" max="28" width="12.08984375" style="5" bestFit="1" customWidth="1"/>
    <col min="29" max="30" width="13.36328125" style="5" bestFit="1" customWidth="1"/>
    <col min="31" max="16384" width="9.81640625" style="5"/>
  </cols>
  <sheetData>
    <row r="1" spans="1:55">
      <c r="A1" s="10"/>
      <c r="B1" s="10"/>
      <c r="C1" s="1" t="s">
        <v>93</v>
      </c>
      <c r="D1" s="137" t="s">
        <v>15</v>
      </c>
      <c r="E1" s="138"/>
      <c r="F1" s="139"/>
      <c r="G1" s="137" t="s">
        <v>0</v>
      </c>
      <c r="H1" s="138"/>
      <c r="I1" s="139"/>
      <c r="J1" s="3"/>
      <c r="K1" s="134" t="s">
        <v>48</v>
      </c>
      <c r="L1" s="135"/>
      <c r="M1" s="135"/>
      <c r="N1" s="136"/>
      <c r="O1" s="4"/>
      <c r="W1" s="6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55" ht="16.5" customHeight="1">
      <c r="A2" s="10"/>
      <c r="B2" s="10"/>
      <c r="C2" s="140" t="s">
        <v>69</v>
      </c>
      <c r="D2" s="1"/>
      <c r="E2" s="1"/>
      <c r="F2" s="1"/>
      <c r="G2" s="1"/>
      <c r="H2" s="1"/>
      <c r="I2" s="1"/>
      <c r="J2" s="3"/>
      <c r="K2" s="101" t="s">
        <v>106</v>
      </c>
      <c r="L2" s="102"/>
      <c r="M2" s="102"/>
      <c r="N2" s="103">
        <v>1</v>
      </c>
      <c r="O2" s="4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5" ht="16.5" customHeight="1">
      <c r="A3" s="10"/>
      <c r="B3" s="10"/>
      <c r="C3" s="10"/>
      <c r="D3" s="1" t="s">
        <v>22</v>
      </c>
      <c r="E3" s="1" t="s">
        <v>23</v>
      </c>
      <c r="F3" s="1" t="s">
        <v>24</v>
      </c>
      <c r="G3" s="1" t="s">
        <v>22</v>
      </c>
      <c r="H3" s="1" t="s">
        <v>23</v>
      </c>
      <c r="I3" s="1" t="s">
        <v>24</v>
      </c>
      <c r="J3" s="3"/>
      <c r="K3" s="104" t="s">
        <v>107</v>
      </c>
      <c r="L3" s="105"/>
      <c r="M3" s="105"/>
      <c r="N3" s="103">
        <v>0.92500000000000004</v>
      </c>
      <c r="O3" s="4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55" ht="16.5" customHeight="1">
      <c r="A4" s="9"/>
      <c r="B4" s="9"/>
      <c r="C4" s="10"/>
      <c r="D4" s="10"/>
      <c r="E4" s="10"/>
      <c r="F4" s="10"/>
      <c r="G4" s="10"/>
      <c r="H4" s="10"/>
      <c r="I4" s="10"/>
      <c r="J4" s="3"/>
      <c r="K4" s="104" t="s">
        <v>108</v>
      </c>
      <c r="L4" s="105"/>
      <c r="M4" s="105"/>
      <c r="N4" s="103">
        <v>0.85</v>
      </c>
      <c r="O4" s="4"/>
      <c r="AC4" s="8"/>
      <c r="AD4" s="8"/>
      <c r="AE4" s="8"/>
      <c r="AF4" s="8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1:55">
      <c r="A5" s="1" t="s">
        <v>70</v>
      </c>
      <c r="B5" s="1"/>
      <c r="C5" s="10"/>
      <c r="D5" s="10">
        <v>80</v>
      </c>
      <c r="E5" s="10">
        <v>160</v>
      </c>
      <c r="F5" s="10">
        <v>240</v>
      </c>
      <c r="G5" s="11">
        <f>5962.2*D5-19679</f>
        <v>457297</v>
      </c>
      <c r="H5" s="11">
        <f>5962.2*E5-19679</f>
        <v>934273</v>
      </c>
      <c r="I5" s="11">
        <f>5962.2*F5-19679</f>
        <v>1411249</v>
      </c>
      <c r="J5" s="3"/>
      <c r="K5" s="101" t="s">
        <v>109</v>
      </c>
      <c r="L5" s="102"/>
      <c r="M5" s="102"/>
      <c r="N5" s="103">
        <v>0.75</v>
      </c>
      <c r="O5" s="4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</row>
    <row r="6" spans="1:55">
      <c r="A6" s="1" t="s">
        <v>17</v>
      </c>
      <c r="B6" s="1"/>
      <c r="C6" s="10">
        <v>7</v>
      </c>
      <c r="D6" s="10">
        <v>1.2</v>
      </c>
      <c r="E6" s="10">
        <v>2.4</v>
      </c>
      <c r="F6" s="10">
        <v>3.6</v>
      </c>
      <c r="G6" s="11"/>
      <c r="H6" s="11"/>
      <c r="I6" s="11"/>
      <c r="K6" s="134" t="s">
        <v>92</v>
      </c>
      <c r="L6" s="135"/>
      <c r="M6" s="135"/>
      <c r="N6" s="136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</row>
    <row r="7" spans="1:55">
      <c r="A7" s="1" t="s">
        <v>18</v>
      </c>
      <c r="B7" s="1"/>
      <c r="C7" s="10">
        <v>7</v>
      </c>
      <c r="D7" s="10"/>
      <c r="E7" s="10"/>
      <c r="F7" s="10"/>
      <c r="G7" s="11"/>
      <c r="H7" s="11"/>
      <c r="I7" s="11"/>
      <c r="K7" s="104" t="s">
        <v>42</v>
      </c>
      <c r="L7" s="105"/>
      <c r="M7" s="105"/>
      <c r="N7" s="103">
        <v>88.91</v>
      </c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</row>
    <row r="8" spans="1:55">
      <c r="A8" s="1" t="s">
        <v>19</v>
      </c>
      <c r="B8" s="1"/>
      <c r="C8" s="10">
        <v>8.5</v>
      </c>
      <c r="D8" s="10">
        <v>4.5</v>
      </c>
      <c r="E8" s="10">
        <v>7</v>
      </c>
      <c r="F8" s="10">
        <v>9</v>
      </c>
      <c r="G8" s="11">
        <f>38620*D8-55914</f>
        <v>117876</v>
      </c>
      <c r="H8" s="11">
        <f t="shared" ref="H8:I8" si="0">38620*E8-55914</f>
        <v>214426</v>
      </c>
      <c r="I8" s="11">
        <f t="shared" si="0"/>
        <v>291666</v>
      </c>
      <c r="K8" s="104" t="s">
        <v>46</v>
      </c>
      <c r="L8" s="105"/>
      <c r="M8" s="105"/>
      <c r="N8" s="103">
        <v>-1.3220000000000001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1:55">
      <c r="A9" s="1" t="s">
        <v>20</v>
      </c>
      <c r="B9" s="1"/>
      <c r="C9" s="10">
        <v>6</v>
      </c>
      <c r="D9" s="10">
        <v>3</v>
      </c>
      <c r="E9" s="10">
        <v>6</v>
      </c>
      <c r="F9" s="10">
        <v>9</v>
      </c>
      <c r="G9" s="11">
        <f t="shared" ref="G9:I9" si="1">168460*D9-122915</f>
        <v>382465</v>
      </c>
      <c r="H9" s="11">
        <f t="shared" si="1"/>
        <v>887845</v>
      </c>
      <c r="I9" s="11">
        <f t="shared" si="1"/>
        <v>1393225</v>
      </c>
      <c r="K9" s="101" t="s">
        <v>47</v>
      </c>
      <c r="L9" s="105"/>
      <c r="M9" s="105"/>
      <c r="N9" s="103">
        <v>0.16719999999999999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5">
      <c r="A10" s="1" t="s">
        <v>21</v>
      </c>
      <c r="B10" s="1"/>
      <c r="C10" s="10">
        <v>6</v>
      </c>
      <c r="D10" s="10">
        <v>5</v>
      </c>
      <c r="E10" s="10">
        <v>9</v>
      </c>
      <c r="F10" s="10">
        <v>10.5</v>
      </c>
      <c r="G10" s="11">
        <f>25052*D10-35608</f>
        <v>89652</v>
      </c>
      <c r="H10" s="11">
        <f t="shared" ref="H10:I10" si="2">25052*E10-35608</f>
        <v>189860</v>
      </c>
      <c r="I10" s="11">
        <f t="shared" si="2"/>
        <v>227438</v>
      </c>
      <c r="K10" s="104" t="s">
        <v>4</v>
      </c>
      <c r="L10" s="105"/>
      <c r="M10" s="105"/>
      <c r="N10" s="103">
        <v>5.8E-4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5">
      <c r="A11" s="1" t="s">
        <v>39</v>
      </c>
      <c r="B11" s="1"/>
      <c r="C11" s="10"/>
      <c r="D11" s="10"/>
      <c r="E11" s="10"/>
      <c r="F11" s="10"/>
      <c r="G11" s="11">
        <f>SUM(G6:G10)</f>
        <v>589993</v>
      </c>
      <c r="H11" s="11">
        <f>SUM(H6:H10)</f>
        <v>1292131</v>
      </c>
      <c r="I11" s="11">
        <f>SUM(I6:I10)</f>
        <v>1912329</v>
      </c>
      <c r="K11" s="104" t="s">
        <v>49</v>
      </c>
      <c r="L11" s="105"/>
      <c r="M11" s="105"/>
      <c r="N11" s="103">
        <v>-4.7229999999999998E-3</v>
      </c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</row>
    <row r="12" spans="1:55">
      <c r="A12" s="10" t="s">
        <v>40</v>
      </c>
      <c r="B12" s="10"/>
      <c r="C12" s="10"/>
      <c r="D12" s="10"/>
      <c r="E12" s="10"/>
      <c r="F12" s="1"/>
      <c r="G12" s="11">
        <f>SUM(G5:G10)</f>
        <v>1047290</v>
      </c>
      <c r="H12" s="11">
        <f>SUM(H5:H10)</f>
        <v>2226404</v>
      </c>
      <c r="I12" s="11">
        <f>SUM(I5:I10)</f>
        <v>3323578</v>
      </c>
      <c r="K12" s="104" t="s">
        <v>50</v>
      </c>
      <c r="L12" s="105"/>
      <c r="M12" s="105"/>
      <c r="N12" s="103">
        <v>-1.047E-3</v>
      </c>
      <c r="AC12" s="8"/>
      <c r="AD12" s="8"/>
      <c r="AE12" s="8"/>
      <c r="AF12" s="8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5">
      <c r="A13" s="10" t="s">
        <v>25</v>
      </c>
      <c r="B13" s="10"/>
      <c r="C13" s="10"/>
      <c r="D13" s="10">
        <v>0</v>
      </c>
      <c r="E13" s="10">
        <v>0</v>
      </c>
      <c r="F13" s="14">
        <v>0</v>
      </c>
      <c r="G13" s="10"/>
      <c r="H13" s="10"/>
      <c r="I13" s="10"/>
      <c r="J13" s="7"/>
      <c r="K13" s="104" t="s">
        <v>51</v>
      </c>
      <c r="L13" s="105"/>
      <c r="M13" s="105"/>
      <c r="N13" s="103">
        <v>2.6999999999999999E-5</v>
      </c>
      <c r="O13" s="13"/>
      <c r="P13" s="13"/>
      <c r="Q13" s="13"/>
      <c r="R13" s="13"/>
      <c r="S13" s="13"/>
      <c r="T13" s="13"/>
      <c r="AC13" s="8"/>
      <c r="AD13" s="8"/>
      <c r="AE13" s="8"/>
      <c r="AF13" s="8"/>
      <c r="AG13" s="13"/>
      <c r="AH13" s="13"/>
      <c r="AI13" s="13"/>
      <c r="AJ13" s="13"/>
      <c r="AK13" s="13"/>
      <c r="AL13" s="7"/>
      <c r="AM13" s="7"/>
      <c r="AN13" s="7"/>
      <c r="AO13" s="7"/>
      <c r="AP13" s="7"/>
      <c r="AQ13" s="7"/>
      <c r="AR13" s="7"/>
      <c r="AS13" s="7"/>
    </row>
    <row r="14" spans="1:55">
      <c r="A14" s="141" t="s">
        <v>56</v>
      </c>
      <c r="B14" s="141"/>
      <c r="C14" s="141"/>
      <c r="D14" s="141">
        <v>0.9</v>
      </c>
      <c r="E14" s="10"/>
      <c r="F14" s="10"/>
      <c r="G14" s="10"/>
      <c r="H14" s="10"/>
      <c r="I14" s="10"/>
      <c r="J14" s="7"/>
      <c r="K14" s="104" t="s">
        <v>52</v>
      </c>
      <c r="L14" s="105"/>
      <c r="M14" s="105"/>
      <c r="N14" s="103">
        <v>-9.9999999999999995E-7</v>
      </c>
      <c r="O14" s="7"/>
      <c r="P14" s="7"/>
      <c r="Q14" s="7"/>
      <c r="R14" s="7"/>
      <c r="S14" s="7"/>
      <c r="T14" s="7"/>
      <c r="AC14" s="8"/>
      <c r="AD14" s="8"/>
      <c r="AE14" s="8"/>
      <c r="AF14" s="8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1:55">
      <c r="A15" s="1" t="s">
        <v>1</v>
      </c>
      <c r="B15" s="1"/>
      <c r="C15" s="10"/>
      <c r="D15" s="15">
        <v>260</v>
      </c>
      <c r="E15" s="10"/>
      <c r="F15" s="10"/>
      <c r="G15" s="10"/>
      <c r="H15" s="10"/>
      <c r="I15" s="10"/>
      <c r="J15" s="7"/>
      <c r="K15" s="104" t="s">
        <v>53</v>
      </c>
      <c r="L15" s="105"/>
      <c r="M15" s="105"/>
      <c r="N15" s="103">
        <v>2.8E-5</v>
      </c>
      <c r="O15" s="7"/>
      <c r="P15" s="7"/>
      <c r="Q15" s="7"/>
      <c r="R15" s="7"/>
      <c r="S15" s="7"/>
      <c r="T15" s="7"/>
      <c r="AC15" s="8"/>
      <c r="AD15" s="8"/>
      <c r="AE15" s="8"/>
      <c r="AF15" s="8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55">
      <c r="A16" s="1" t="s">
        <v>41</v>
      </c>
      <c r="B16" s="1"/>
      <c r="C16" s="10"/>
      <c r="D16" s="15">
        <v>10</v>
      </c>
      <c r="E16" s="10"/>
      <c r="F16" s="10"/>
      <c r="G16" s="10"/>
      <c r="H16" s="10"/>
      <c r="I16" s="10"/>
      <c r="J16" s="7"/>
      <c r="K16" s="17"/>
      <c r="L16" s="18"/>
      <c r="M16" s="19"/>
      <c r="N16" s="17"/>
      <c r="O16" s="7"/>
      <c r="P16" s="7"/>
      <c r="Q16" s="7"/>
      <c r="R16" s="7"/>
      <c r="S16" s="7"/>
      <c r="T16" s="7"/>
      <c r="W16" s="7"/>
      <c r="X16" s="7"/>
      <c r="Y16" s="7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</row>
    <row r="17" spans="1:55">
      <c r="A17" s="1" t="s">
        <v>110</v>
      </c>
      <c r="B17" s="1"/>
      <c r="C17" s="10"/>
      <c r="D17" s="15">
        <v>2.54</v>
      </c>
      <c r="E17" s="10"/>
      <c r="F17" s="10"/>
      <c r="G17" s="10"/>
      <c r="H17" s="10"/>
      <c r="I17" s="10"/>
      <c r="J17" s="7"/>
      <c r="K17" s="7"/>
      <c r="L17" s="21"/>
      <c r="M17" s="7"/>
      <c r="N17" s="7"/>
      <c r="O17" s="7"/>
      <c r="P17" s="7"/>
      <c r="Q17" s="7"/>
      <c r="R17" s="7"/>
      <c r="S17" s="7"/>
      <c r="T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>
      <c r="A18" s="1" t="s">
        <v>55</v>
      </c>
      <c r="B18" s="1"/>
      <c r="C18" s="10"/>
      <c r="D18" s="10">
        <v>8</v>
      </c>
      <c r="E18" s="10"/>
      <c r="F18" s="10"/>
      <c r="G18" s="10"/>
      <c r="H18" s="10"/>
      <c r="I18" s="10"/>
      <c r="J18" s="7"/>
      <c r="K18" s="7"/>
      <c r="L18" s="21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20"/>
      <c r="AN18" s="20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</row>
    <row r="19" spans="1:55">
      <c r="A19" s="1"/>
      <c r="B19" s="1"/>
      <c r="C19" s="10"/>
      <c r="D19" s="10"/>
      <c r="E19" s="10"/>
      <c r="F19" s="10"/>
      <c r="G19" s="10"/>
      <c r="H19" s="10"/>
      <c r="I19" s="10"/>
      <c r="J19" s="7"/>
      <c r="K19" s="7"/>
      <c r="L19" s="21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55">
      <c r="A20" s="1" t="s">
        <v>68</v>
      </c>
      <c r="B20" s="1"/>
      <c r="C20" s="10"/>
      <c r="D20" s="10">
        <v>50</v>
      </c>
      <c r="E20" s="10"/>
      <c r="F20" s="10"/>
      <c r="G20" s="10"/>
      <c r="H20" s="10"/>
      <c r="I20" s="10"/>
      <c r="J20" s="7"/>
      <c r="K20" s="7"/>
      <c r="L20" s="21"/>
      <c r="M20" s="7"/>
      <c r="N20" s="74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55">
      <c r="A21" s="10" t="s">
        <v>14</v>
      </c>
      <c r="B21" s="10"/>
      <c r="C21" s="10"/>
      <c r="D21" s="142">
        <v>0.04</v>
      </c>
      <c r="E21" s="10"/>
      <c r="F21" s="10"/>
      <c r="G21" s="10"/>
      <c r="H21" s="10"/>
      <c r="I21" s="10"/>
      <c r="J21" s="7"/>
      <c r="K21" s="7"/>
      <c r="L21" s="21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55">
      <c r="A22" s="10" t="s">
        <v>112</v>
      </c>
      <c r="B22" s="10"/>
      <c r="C22" s="10"/>
      <c r="D22" s="10">
        <v>4</v>
      </c>
      <c r="E22" s="10"/>
      <c r="F22" s="10"/>
      <c r="G22" s="10"/>
      <c r="H22" s="10"/>
      <c r="I22" s="10"/>
      <c r="J22" s="7"/>
      <c r="K22" s="7"/>
      <c r="L22" s="21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55">
      <c r="A23" s="2" t="s">
        <v>54</v>
      </c>
      <c r="B23" s="2"/>
      <c r="C23" s="10">
        <v>700</v>
      </c>
      <c r="D23" s="106">
        <f>IF($D$22=1,$N$5,IF($D$22=2,$N$4,IF($D$22=3,$N$3,IF($D$22=4,$N$2))))*C23</f>
        <v>700</v>
      </c>
      <c r="E23" s="2"/>
      <c r="F23" s="2"/>
      <c r="G23" s="2"/>
      <c r="H23" s="2"/>
      <c r="I23" s="2"/>
      <c r="J23" s="7"/>
      <c r="K23" s="7"/>
      <c r="L23" s="21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1:55">
      <c r="A24" s="2"/>
      <c r="B24" s="2"/>
      <c r="C24" s="2"/>
      <c r="D24" s="2"/>
      <c r="E24" s="2"/>
      <c r="F24" s="2"/>
      <c r="G24" s="2"/>
      <c r="H24" s="2"/>
      <c r="I24" s="2"/>
      <c r="J24" s="7"/>
      <c r="K24" s="7"/>
      <c r="L24" s="21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8"/>
      <c r="Z24" s="7"/>
      <c r="AA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1:55" ht="15.6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84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7"/>
      <c r="AA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55" ht="15.6" customHeight="1" thickBot="1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7"/>
      <c r="AA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1:55" ht="15.6" customHeight="1">
      <c r="A27" s="81" t="s">
        <v>101</v>
      </c>
      <c r="B27" s="82"/>
      <c r="C27" s="82"/>
      <c r="D27" s="82"/>
      <c r="E27" s="82"/>
      <c r="F27" s="82"/>
      <c r="G27" s="82"/>
      <c r="H27" s="82"/>
      <c r="I27" s="82"/>
      <c r="J27" s="82"/>
      <c r="K27" s="83"/>
      <c r="L27" s="87"/>
      <c r="M27" s="26"/>
      <c r="N27" s="26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7"/>
      <c r="AA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1:55" ht="15.6" customHeight="1">
      <c r="A28" s="85" t="s">
        <v>4</v>
      </c>
      <c r="B28" s="85" t="s">
        <v>4</v>
      </c>
      <c r="C28" s="24">
        <v>200</v>
      </c>
      <c r="D28" s="24">
        <v>400</v>
      </c>
      <c r="E28" s="24">
        <v>600</v>
      </c>
      <c r="F28" s="24">
        <v>800</v>
      </c>
      <c r="G28" s="24">
        <v>1000</v>
      </c>
      <c r="H28" s="24">
        <v>1200</v>
      </c>
      <c r="I28" s="24">
        <v>1400</v>
      </c>
      <c r="J28" s="24">
        <v>1600</v>
      </c>
      <c r="K28" s="86">
        <v>1800</v>
      </c>
      <c r="L28" s="87"/>
      <c r="M28" s="26"/>
      <c r="N28" s="26"/>
      <c r="O28" s="7"/>
      <c r="P28" s="8"/>
      <c r="Q28" s="7"/>
      <c r="R28" s="7"/>
      <c r="U28" s="7"/>
      <c r="V28" s="7"/>
      <c r="W28" s="7"/>
      <c r="X28" s="7"/>
      <c r="Y28" s="8"/>
      <c r="Z28" s="7"/>
      <c r="AA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55" ht="15.6" customHeight="1">
      <c r="A29" s="85" t="s">
        <v>22</v>
      </c>
      <c r="B29" s="85" t="s">
        <v>22</v>
      </c>
      <c r="C29" s="24">
        <f>+C134/C28</f>
        <v>664.11012448262363</v>
      </c>
      <c r="D29" s="24">
        <f t="shared" ref="D29:K29" si="3">+D134/D28</f>
        <v>572.67474458752451</v>
      </c>
      <c r="E29" s="24">
        <f t="shared" si="3"/>
        <v>571.0705114725256</v>
      </c>
      <c r="F29" s="24">
        <f t="shared" si="3"/>
        <v>600.37610567680133</v>
      </c>
      <c r="G29" s="24">
        <f t="shared" si="3"/>
        <v>640.68181043508503</v>
      </c>
      <c r="H29" s="24">
        <f t="shared" si="3"/>
        <v>684.17988216113713</v>
      </c>
      <c r="I29" s="24">
        <f t="shared" si="3"/>
        <v>734.31082127072364</v>
      </c>
      <c r="J29" s="24">
        <f t="shared" si="3"/>
        <v>787.53687862428592</v>
      </c>
      <c r="K29" s="86">
        <f t="shared" si="3"/>
        <v>843.31519964623703</v>
      </c>
      <c r="L29" s="87"/>
      <c r="M29" s="26"/>
      <c r="N29" s="26"/>
      <c r="O29" s="26"/>
      <c r="P29" s="26"/>
      <c r="Q29" s="26"/>
      <c r="R29" s="26"/>
      <c r="S29" s="26"/>
      <c r="T29" s="26"/>
      <c r="U29" s="26"/>
      <c r="V29" s="7"/>
      <c r="W29" s="7"/>
      <c r="X29" s="7"/>
      <c r="Y29" s="8"/>
      <c r="Z29" s="7"/>
      <c r="AA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55" ht="15.6" customHeight="1">
      <c r="A30" s="85" t="s">
        <v>23</v>
      </c>
      <c r="B30" s="85" t="s">
        <v>23</v>
      </c>
      <c r="C30" s="24">
        <f>+C154/C28</f>
        <v>947.32207753281227</v>
      </c>
      <c r="D30" s="24">
        <f t="shared" ref="D30:K30" si="4">+D154/D28</f>
        <v>684.61576217394713</v>
      </c>
      <c r="E30" s="24">
        <f t="shared" si="4"/>
        <v>616.86115109708749</v>
      </c>
      <c r="F30" s="24">
        <f t="shared" si="4"/>
        <v>607.94127185000571</v>
      </c>
      <c r="G30" s="24">
        <f t="shared" si="4"/>
        <v>621.40208789562416</v>
      </c>
      <c r="H30" s="24">
        <f t="shared" si="4"/>
        <v>643.91741436181633</v>
      </c>
      <c r="I30" s="24">
        <f t="shared" si="4"/>
        <v>677.57750279027653</v>
      </c>
      <c r="J30" s="24">
        <f t="shared" si="4"/>
        <v>716.14159040340223</v>
      </c>
      <c r="K30" s="86">
        <f t="shared" si="4"/>
        <v>758.48159817148132</v>
      </c>
      <c r="L30" s="87"/>
      <c r="M30" s="26"/>
      <c r="N30" s="26"/>
      <c r="O30" s="26"/>
      <c r="P30" s="26"/>
      <c r="Q30" s="26"/>
      <c r="R30" s="26"/>
      <c r="S30" s="26"/>
      <c r="T30" s="26"/>
      <c r="U30" s="26"/>
      <c r="V30" s="7"/>
      <c r="W30" s="7"/>
      <c r="X30" s="7"/>
      <c r="Y30" s="8"/>
      <c r="Z30" s="7"/>
      <c r="AA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55" ht="15.6" customHeight="1">
      <c r="A31" s="85" t="s">
        <v>24</v>
      </c>
      <c r="B31" s="85" t="s">
        <v>24</v>
      </c>
      <c r="C31" s="24">
        <f>+C174/C28</f>
        <v>1257.6064204482029</v>
      </c>
      <c r="D31" s="24">
        <f t="shared" ref="D31:K31" si="5">+D174/D28</f>
        <v>842.7108414926098</v>
      </c>
      <c r="E31" s="24">
        <f t="shared" si="5"/>
        <v>717.6585719068255</v>
      </c>
      <c r="F31" s="24">
        <f t="shared" si="5"/>
        <v>679.35677851866353</v>
      </c>
      <c r="G31" s="24">
        <f t="shared" si="5"/>
        <v>673.88914935703394</v>
      </c>
      <c r="H31" s="24">
        <f t="shared" si="5"/>
        <v>680.55475927394139</v>
      </c>
      <c r="I31" s="24">
        <f t="shared" si="5"/>
        <v>703.57956811407519</v>
      </c>
      <c r="J31" s="24">
        <f t="shared" si="5"/>
        <v>734.26975186835898</v>
      </c>
      <c r="K31" s="86">
        <f t="shared" si="5"/>
        <v>769.8231827814576</v>
      </c>
      <c r="L31" s="87"/>
      <c r="M31" s="26"/>
      <c r="N31" s="26"/>
      <c r="O31" s="26"/>
      <c r="P31" s="26"/>
      <c r="Q31" s="26"/>
      <c r="R31" s="26"/>
      <c r="S31" s="26"/>
      <c r="T31" s="26"/>
      <c r="U31" s="26"/>
      <c r="V31" s="7"/>
      <c r="W31" s="7"/>
      <c r="X31" s="7"/>
      <c r="Y31" s="8"/>
      <c r="Z31" s="7"/>
      <c r="AA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55" ht="15.6" customHeight="1">
      <c r="A32" s="85" t="s">
        <v>89</v>
      </c>
      <c r="B32" s="85" t="s">
        <v>89</v>
      </c>
      <c r="C32" s="24">
        <f>+C264/C28</f>
        <v>890.96319440031846</v>
      </c>
      <c r="D32" s="24">
        <f t="shared" ref="D32:K32" si="6">+D264/D28</f>
        <v>682.57003997309073</v>
      </c>
      <c r="E32" s="24">
        <f t="shared" si="6"/>
        <v>617.50403892377005</v>
      </c>
      <c r="F32" s="24">
        <f t="shared" si="6"/>
        <v>601.34781516600322</v>
      </c>
      <c r="G32" s="24">
        <f t="shared" si="6"/>
        <v>605.80048803758882</v>
      </c>
      <c r="H32" s="24">
        <f t="shared" si="6"/>
        <v>618.65208956313938</v>
      </c>
      <c r="I32" s="24">
        <f t="shared" si="6"/>
        <v>642.91333077265085</v>
      </c>
      <c r="J32" s="24">
        <f t="shared" si="6"/>
        <v>676.7914322282794</v>
      </c>
      <c r="K32" s="86">
        <f t="shared" si="6"/>
        <v>713.51066255246133</v>
      </c>
      <c r="L32" s="91"/>
      <c r="M32" s="26"/>
      <c r="N32" s="26"/>
      <c r="O32" s="26"/>
      <c r="P32" s="26"/>
      <c r="Q32" s="26"/>
      <c r="R32" s="26"/>
      <c r="S32" s="26"/>
      <c r="T32" s="26"/>
      <c r="U32" s="26"/>
      <c r="V32" s="7"/>
      <c r="W32" s="7"/>
      <c r="X32" s="7"/>
      <c r="Y32" s="8"/>
      <c r="Z32" s="7"/>
      <c r="AA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 ht="15.6" customHeight="1">
      <c r="A33" s="85" t="s">
        <v>90</v>
      </c>
      <c r="B33" s="85" t="s">
        <v>90</v>
      </c>
      <c r="C33" s="24">
        <f>+C284/C28</f>
        <v>1228.7381591594346</v>
      </c>
      <c r="D33" s="24">
        <f t="shared" ref="D33:K33" si="7">+D284/D28</f>
        <v>846.72475268942367</v>
      </c>
      <c r="E33" s="24">
        <f t="shared" si="7"/>
        <v>704.09206088942074</v>
      </c>
      <c r="F33" s="24">
        <f t="shared" si="7"/>
        <v>638.02846339965708</v>
      </c>
      <c r="G33" s="24">
        <f t="shared" si="7"/>
        <v>604.21850230957273</v>
      </c>
      <c r="H33" s="24">
        <f t="shared" si="7"/>
        <v>584.2336754415137</v>
      </c>
      <c r="I33" s="24">
        <f t="shared" si="7"/>
        <v>578.89192135246549</v>
      </c>
      <c r="J33" s="24">
        <f t="shared" si="7"/>
        <v>581.33232978301089</v>
      </c>
      <c r="K33" s="86">
        <f t="shared" si="7"/>
        <v>589.55592303103901</v>
      </c>
      <c r="L33" s="7"/>
      <c r="M33" s="26"/>
      <c r="N33" s="26"/>
      <c r="O33" s="26"/>
      <c r="P33" s="26"/>
      <c r="Q33" s="26"/>
      <c r="R33" s="26"/>
      <c r="S33" s="26"/>
      <c r="T33" s="26"/>
      <c r="U33" s="26"/>
      <c r="V33" s="7"/>
      <c r="W33" s="7"/>
      <c r="X33" s="7"/>
      <c r="Y33" s="8"/>
      <c r="Z33" s="7"/>
      <c r="AA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 ht="15.6" customHeight="1" thickBot="1">
      <c r="A34" s="88" t="s">
        <v>91</v>
      </c>
      <c r="B34" s="88" t="s">
        <v>91</v>
      </c>
      <c r="C34" s="89">
        <f>+C304/C28</f>
        <v>1468.194547450388</v>
      </c>
      <c r="D34" s="89">
        <f t="shared" ref="D34:K34" si="8">+D304/D28</f>
        <v>967.69849595603887</v>
      </c>
      <c r="E34" s="89">
        <f t="shared" si="8"/>
        <v>781.63319609942675</v>
      </c>
      <c r="F34" s="89">
        <f t="shared" si="8"/>
        <v>692.19389140156886</v>
      </c>
      <c r="G34" s="89">
        <f t="shared" si="8"/>
        <v>642.21553717329118</v>
      </c>
      <c r="H34" s="89">
        <f t="shared" si="8"/>
        <v>608.49337292436087</v>
      </c>
      <c r="I34" s="89">
        <f t="shared" si="8"/>
        <v>592.43246903471447</v>
      </c>
      <c r="J34" s="89">
        <f t="shared" si="8"/>
        <v>585.44957567432391</v>
      </c>
      <c r="K34" s="90">
        <f t="shared" si="8"/>
        <v>585.12105712479445</v>
      </c>
      <c r="L34" s="87"/>
      <c r="M34" s="7"/>
      <c r="N34" s="7"/>
      <c r="O34" s="26"/>
      <c r="P34" s="26"/>
      <c r="Q34" s="26"/>
      <c r="R34" s="26"/>
      <c r="S34" s="26"/>
      <c r="T34" s="26"/>
      <c r="U34" s="26"/>
      <c r="V34" s="7"/>
      <c r="W34" s="7"/>
      <c r="X34" s="7"/>
      <c r="Y34" s="8"/>
      <c r="Z34" s="7"/>
      <c r="AA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 ht="15.6" customHeight="1" thickBot="1">
      <c r="A35" s="92"/>
      <c r="B35" s="92"/>
      <c r="C35" s="92"/>
      <c r="D35" s="92"/>
      <c r="E35" s="92"/>
      <c r="F35" s="92"/>
      <c r="G35" s="93"/>
      <c r="H35" s="92"/>
      <c r="I35" s="92"/>
      <c r="J35" s="92"/>
      <c r="K35" s="92"/>
      <c r="L35" s="87"/>
      <c r="M35" s="33"/>
      <c r="N35" s="33"/>
      <c r="O35" s="26"/>
      <c r="P35" s="26"/>
      <c r="Q35" s="26"/>
      <c r="R35" s="26"/>
      <c r="S35" s="26"/>
      <c r="T35" s="26"/>
      <c r="U35" s="26"/>
      <c r="V35" s="7"/>
      <c r="W35" s="7"/>
      <c r="X35" s="7"/>
      <c r="Y35" s="8"/>
      <c r="Z35" s="7"/>
      <c r="AA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 ht="15.6" customHeight="1">
      <c r="A36" s="81" t="s">
        <v>13</v>
      </c>
      <c r="B36" s="82"/>
      <c r="C36" s="82"/>
      <c r="D36" s="82"/>
      <c r="E36" s="82"/>
      <c r="F36" s="82"/>
      <c r="G36" s="94"/>
      <c r="H36" s="82"/>
      <c r="I36" s="82"/>
      <c r="J36" s="82"/>
      <c r="K36" s="83"/>
      <c r="L36" s="87"/>
      <c r="M36" s="33"/>
      <c r="N36" s="33"/>
      <c r="O36" s="7"/>
      <c r="P36" s="8"/>
      <c r="Q36" s="7"/>
      <c r="R36" s="7"/>
      <c r="U36" s="7"/>
      <c r="V36" s="7"/>
      <c r="W36" s="7"/>
      <c r="X36" s="7"/>
      <c r="Y36" s="8"/>
      <c r="Z36" s="7"/>
      <c r="AA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 ht="15.6" customHeight="1">
      <c r="A37" s="85" t="s">
        <v>4</v>
      </c>
      <c r="B37" s="85" t="s">
        <v>4</v>
      </c>
      <c r="C37" s="26">
        <f>+C28</f>
        <v>200</v>
      </c>
      <c r="D37" s="26">
        <f t="shared" ref="D37:K37" si="9">+D28</f>
        <v>400</v>
      </c>
      <c r="E37" s="26">
        <f t="shared" si="9"/>
        <v>600</v>
      </c>
      <c r="F37" s="26">
        <f t="shared" si="9"/>
        <v>800</v>
      </c>
      <c r="G37" s="26">
        <f t="shared" si="9"/>
        <v>1000</v>
      </c>
      <c r="H37" s="26">
        <f t="shared" si="9"/>
        <v>1200</v>
      </c>
      <c r="I37" s="26">
        <f t="shared" si="9"/>
        <v>1400</v>
      </c>
      <c r="J37" s="26">
        <f t="shared" si="9"/>
        <v>1600</v>
      </c>
      <c r="K37" s="95">
        <f t="shared" si="9"/>
        <v>1800</v>
      </c>
      <c r="L37" s="87"/>
      <c r="M37" s="33"/>
      <c r="N37" s="33"/>
      <c r="O37" s="33"/>
      <c r="P37" s="30"/>
      <c r="Q37" s="33"/>
      <c r="R37" s="33"/>
      <c r="S37" s="24"/>
      <c r="T37" s="24"/>
      <c r="U37" s="33"/>
      <c r="V37" s="7"/>
      <c r="W37" s="7"/>
      <c r="X37" s="7"/>
      <c r="Y37" s="8"/>
      <c r="Z37" s="7"/>
      <c r="AA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 ht="15.6" customHeight="1">
      <c r="A38" s="85" t="s">
        <v>22</v>
      </c>
      <c r="B38" s="85" t="s">
        <v>22</v>
      </c>
      <c r="C38" s="26">
        <f>+C131/C37</f>
        <v>261.18096569817328</v>
      </c>
      <c r="D38" s="26">
        <f t="shared" ref="D38:K38" si="10">+D131/D37</f>
        <v>311.74138264049259</v>
      </c>
      <c r="E38" s="26">
        <f t="shared" si="10"/>
        <v>360.91725385378169</v>
      </c>
      <c r="F38" s="26">
        <f t="shared" si="10"/>
        <v>413.88645285018322</v>
      </c>
      <c r="G38" s="26">
        <f t="shared" si="10"/>
        <v>468.27805184658433</v>
      </c>
      <c r="H38" s="26">
        <f t="shared" si="10"/>
        <v>522.35832695873808</v>
      </c>
      <c r="I38" s="26">
        <f t="shared" si="10"/>
        <v>579.41009857048834</v>
      </c>
      <c r="J38" s="26">
        <f t="shared" si="10"/>
        <v>637.88427018223842</v>
      </c>
      <c r="K38" s="26">
        <f t="shared" si="10"/>
        <v>697.78084179398832</v>
      </c>
      <c r="L38" s="87"/>
      <c r="M38" s="33"/>
      <c r="N38" s="33"/>
      <c r="O38" s="33"/>
      <c r="P38" s="30"/>
      <c r="Q38" s="33"/>
      <c r="R38" s="33"/>
      <c r="S38" s="24"/>
      <c r="T38" s="24"/>
      <c r="U38" s="33"/>
      <c r="V38" s="7"/>
      <c r="W38" s="7"/>
      <c r="X38" s="7"/>
      <c r="Y38" s="8"/>
      <c r="Z38" s="7"/>
      <c r="AA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 ht="15.6" customHeight="1">
      <c r="A39" s="85" t="s">
        <v>23</v>
      </c>
      <c r="B39" s="85" t="s">
        <v>23</v>
      </c>
      <c r="C39" s="26">
        <f>+C151/C37</f>
        <v>229.22229161843501</v>
      </c>
      <c r="D39" s="26">
        <f t="shared" ref="D39:K39" si="11">+D151/D37</f>
        <v>271.45174073168982</v>
      </c>
      <c r="E39" s="26">
        <f t="shared" si="11"/>
        <v>310.8401306647865</v>
      </c>
      <c r="F39" s="26">
        <f t="shared" si="11"/>
        <v>355.08461102144668</v>
      </c>
      <c r="G39" s="26">
        <f t="shared" si="11"/>
        <v>400.75149137810661</v>
      </c>
      <c r="H39" s="26">
        <f t="shared" si="11"/>
        <v>444.97442803133163</v>
      </c>
      <c r="I39" s="26">
        <f t="shared" si="11"/>
        <v>493.12994206024473</v>
      </c>
      <c r="J39" s="26">
        <f t="shared" si="11"/>
        <v>542.7078560891573</v>
      </c>
      <c r="K39" s="26">
        <f t="shared" si="11"/>
        <v>593.70817011807014</v>
      </c>
      <c r="L39" s="87"/>
      <c r="M39" s="33"/>
      <c r="N39" s="33"/>
      <c r="O39" s="33"/>
      <c r="P39" s="30"/>
      <c r="Q39" s="33"/>
      <c r="R39" s="33"/>
      <c r="S39" s="24"/>
      <c r="T39" s="24"/>
      <c r="U39" s="33"/>
      <c r="V39" s="7"/>
      <c r="W39" s="7"/>
      <c r="X39" s="7"/>
      <c r="Y39" s="8"/>
      <c r="Z39" s="7"/>
      <c r="AA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 ht="15.6" customHeight="1">
      <c r="A40" s="85" t="s">
        <v>24</v>
      </c>
      <c r="B40" s="85" t="s">
        <v>24</v>
      </c>
      <c r="C40" s="26">
        <f>+C171/C37</f>
        <v>222.49570097704793</v>
      </c>
      <c r="D40" s="26">
        <f t="shared" ref="D40:K40" si="12">+D171/D37</f>
        <v>262.50685987811562</v>
      </c>
      <c r="E40" s="26">
        <f t="shared" si="12"/>
        <v>298.42624363560185</v>
      </c>
      <c r="F40" s="26">
        <f t="shared" si="12"/>
        <v>340.1274800978814</v>
      </c>
      <c r="G40" s="26">
        <f t="shared" si="12"/>
        <v>383.25111656016009</v>
      </c>
      <c r="H40" s="26">
        <f t="shared" si="12"/>
        <v>423.9573448390222</v>
      </c>
      <c r="I40" s="26">
        <f t="shared" si="12"/>
        <v>469.42378600180041</v>
      </c>
      <c r="J40" s="26">
        <f t="shared" si="12"/>
        <v>516.3126271645782</v>
      </c>
      <c r="K40" s="26">
        <f t="shared" si="12"/>
        <v>564.62386832735626</v>
      </c>
      <c r="L40" s="87"/>
      <c r="M40" s="33"/>
      <c r="N40" s="33"/>
      <c r="O40" s="33"/>
      <c r="P40" s="30"/>
      <c r="Q40" s="33"/>
      <c r="R40" s="33"/>
      <c r="S40" s="24"/>
      <c r="T40" s="24"/>
      <c r="U40" s="33"/>
      <c r="V40" s="7"/>
      <c r="W40" s="7"/>
      <c r="X40" s="7"/>
      <c r="Y40" s="8"/>
      <c r="Z40" s="7"/>
      <c r="AA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 ht="15.6" customHeight="1">
      <c r="A41" s="85" t="s">
        <v>89</v>
      </c>
      <c r="B41" s="85" t="s">
        <v>89</v>
      </c>
      <c r="C41" s="26">
        <f>+C261/C37</f>
        <v>207.78480422058226</v>
      </c>
      <c r="D41" s="26">
        <f t="shared" ref="D41:K41" si="13">+D261/D37</f>
        <v>241.65456610522094</v>
      </c>
      <c r="E41" s="26">
        <f t="shared" si="13"/>
        <v>273.57981537928697</v>
      </c>
      <c r="F41" s="26">
        <f t="shared" si="13"/>
        <v>309.42234137209022</v>
      </c>
      <c r="G41" s="26">
        <f t="shared" si="13"/>
        <v>346.68726736489276</v>
      </c>
      <c r="H41" s="26">
        <f t="shared" si="13"/>
        <v>382.87606807059649</v>
      </c>
      <c r="I41" s="26">
        <f t="shared" si="13"/>
        <v>422.6165392940963</v>
      </c>
      <c r="J41" s="26">
        <f t="shared" si="13"/>
        <v>463.77941051759706</v>
      </c>
      <c r="K41" s="26">
        <f t="shared" si="13"/>
        <v>506.36468174109723</v>
      </c>
      <c r="L41" s="87"/>
      <c r="M41" s="33"/>
      <c r="N41" s="33"/>
      <c r="O41" s="33"/>
      <c r="P41" s="30"/>
      <c r="Q41" s="33"/>
      <c r="R41" s="33"/>
      <c r="S41" s="24"/>
      <c r="T41" s="24"/>
      <c r="U41" s="33"/>
      <c r="V41" s="7"/>
      <c r="W41" s="7"/>
      <c r="X41" s="7"/>
      <c r="Y41" s="8"/>
      <c r="Z41" s="7"/>
      <c r="AA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 ht="15.6" customHeight="1">
      <c r="A42" s="85" t="s">
        <v>90</v>
      </c>
      <c r="B42" s="85" t="s">
        <v>90</v>
      </c>
      <c r="C42" s="26">
        <f>+C281/C37</f>
        <v>196.82339758994621</v>
      </c>
      <c r="D42" s="26">
        <f t="shared" ref="D42:K42" si="14">+D281/D37</f>
        <v>214.03122381645596</v>
      </c>
      <c r="E42" s="26">
        <f t="shared" si="14"/>
        <v>230.56732917864173</v>
      </c>
      <c r="F42" s="26">
        <f t="shared" si="14"/>
        <v>248.96041789196198</v>
      </c>
      <c r="G42" s="26">
        <f t="shared" si="14"/>
        <v>268.77590660528188</v>
      </c>
      <c r="H42" s="26">
        <f t="shared" si="14"/>
        <v>287.10666176152154</v>
      </c>
      <c r="I42" s="26">
        <f t="shared" si="14"/>
        <v>309.05461781934696</v>
      </c>
      <c r="J42" s="26">
        <f t="shared" si="14"/>
        <v>332.42497387717299</v>
      </c>
      <c r="K42" s="26">
        <f t="shared" si="14"/>
        <v>357.21772993499837</v>
      </c>
      <c r="L42" s="7"/>
      <c r="M42" s="7"/>
      <c r="N42" s="7"/>
      <c r="O42" s="33"/>
      <c r="P42" s="30"/>
      <c r="Q42" s="33"/>
      <c r="R42" s="33"/>
      <c r="S42" s="24"/>
      <c r="T42" s="24"/>
      <c r="U42" s="33"/>
      <c r="V42" s="7"/>
      <c r="W42" s="7"/>
      <c r="X42" s="7"/>
      <c r="Y42" s="8"/>
      <c r="Z42" s="7"/>
      <c r="AA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 ht="15.6" customHeight="1" thickBot="1">
      <c r="A43" s="88" t="s">
        <v>91</v>
      </c>
      <c r="B43" s="88" t="s">
        <v>91</v>
      </c>
      <c r="C43" s="96">
        <f>+C301/C37</f>
        <v>201.03693368456888</v>
      </c>
      <c r="D43" s="96">
        <f t="shared" ref="D43:K43" si="15">+D301/D37</f>
        <v>213.80817948670557</v>
      </c>
      <c r="E43" s="96">
        <f t="shared" si="15"/>
        <v>226.76335803541579</v>
      </c>
      <c r="F43" s="96">
        <f t="shared" si="15"/>
        <v>240.0699589599744</v>
      </c>
      <c r="G43" s="96">
        <f t="shared" si="15"/>
        <v>254.79895988453254</v>
      </c>
      <c r="H43" s="96">
        <f t="shared" si="15"/>
        <v>267.6534611713513</v>
      </c>
      <c r="I43" s="96">
        <f t="shared" si="15"/>
        <v>284.22327149690744</v>
      </c>
      <c r="J43" s="96">
        <f t="shared" si="15"/>
        <v>302.21548182246335</v>
      </c>
      <c r="K43" s="96">
        <f t="shared" si="15"/>
        <v>321.63009214801968</v>
      </c>
      <c r="L43" s="87"/>
      <c r="M43" s="26"/>
      <c r="N43" s="26"/>
      <c r="O43" s="33"/>
      <c r="P43" s="30"/>
      <c r="Q43" s="33"/>
      <c r="R43" s="33"/>
      <c r="S43" s="24"/>
      <c r="T43" s="24"/>
      <c r="U43" s="33"/>
      <c r="V43" s="7"/>
      <c r="W43" s="7"/>
      <c r="X43" s="7"/>
      <c r="Y43" s="8"/>
      <c r="Z43" s="7"/>
      <c r="AA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ht="15.6" customHeight="1" thickBot="1">
      <c r="A44" s="92"/>
      <c r="B44" s="92"/>
      <c r="C44" s="92"/>
      <c r="D44" s="92"/>
      <c r="E44" s="92"/>
      <c r="F44" s="92"/>
      <c r="G44" s="93"/>
      <c r="H44" s="92"/>
      <c r="I44" s="92"/>
      <c r="J44" s="92"/>
      <c r="K44" s="92"/>
      <c r="L44" s="87"/>
      <c r="M44" s="26"/>
      <c r="N44" s="26"/>
      <c r="O44" s="7"/>
      <c r="P44" s="8"/>
      <c r="Q44" s="7"/>
      <c r="R44" s="7"/>
      <c r="U44" s="7"/>
      <c r="V44" s="7"/>
      <c r="W44" s="7"/>
      <c r="X44" s="7"/>
      <c r="Y44" s="8"/>
      <c r="Z44" s="7"/>
      <c r="AA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 ht="15.6" customHeight="1">
      <c r="A45" s="81" t="s">
        <v>102</v>
      </c>
      <c r="B45" s="82"/>
      <c r="C45" s="82"/>
      <c r="D45" s="82"/>
      <c r="E45" s="82"/>
      <c r="F45" s="82"/>
      <c r="G45" s="94"/>
      <c r="H45" s="82"/>
      <c r="I45" s="82"/>
      <c r="J45" s="82"/>
      <c r="K45" s="83"/>
      <c r="L45" s="87"/>
      <c r="M45" s="26"/>
      <c r="N45" s="26"/>
      <c r="O45" s="26"/>
      <c r="P45" s="26"/>
      <c r="Q45" s="26"/>
      <c r="R45" s="26"/>
      <c r="S45" s="26"/>
      <c r="T45" s="26"/>
      <c r="U45" s="26"/>
      <c r="V45" s="7"/>
      <c r="W45" s="7"/>
      <c r="X45" s="7"/>
      <c r="Y45" s="8"/>
      <c r="Z45" s="7"/>
      <c r="AA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 ht="15.6" customHeight="1">
      <c r="A46" s="85" t="s">
        <v>4</v>
      </c>
      <c r="B46" s="85" t="s">
        <v>4</v>
      </c>
      <c r="C46" s="26">
        <f>+C28</f>
        <v>200</v>
      </c>
      <c r="D46" s="26">
        <f t="shared" ref="D46:K46" si="16">+D28</f>
        <v>400</v>
      </c>
      <c r="E46" s="26">
        <f t="shared" si="16"/>
        <v>600</v>
      </c>
      <c r="F46" s="26">
        <f t="shared" si="16"/>
        <v>800</v>
      </c>
      <c r="G46" s="26">
        <f t="shared" si="16"/>
        <v>1000</v>
      </c>
      <c r="H46" s="26">
        <f t="shared" si="16"/>
        <v>1200</v>
      </c>
      <c r="I46" s="26">
        <f t="shared" si="16"/>
        <v>1400</v>
      </c>
      <c r="J46" s="26">
        <f t="shared" si="16"/>
        <v>1600</v>
      </c>
      <c r="K46" s="95">
        <f t="shared" si="16"/>
        <v>1800</v>
      </c>
      <c r="L46" s="87"/>
      <c r="M46" s="26"/>
      <c r="N46" s="26"/>
      <c r="O46" s="26"/>
      <c r="P46" s="26"/>
      <c r="Q46" s="26"/>
      <c r="R46" s="26"/>
      <c r="S46" s="26"/>
      <c r="T46" s="26"/>
      <c r="U46" s="26"/>
      <c r="V46" s="7"/>
      <c r="W46" s="7"/>
      <c r="X46" s="7"/>
      <c r="Y46" s="8"/>
      <c r="Z46" s="7"/>
      <c r="AA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 ht="15.6" customHeight="1">
      <c r="A47" s="85" t="s">
        <v>22</v>
      </c>
      <c r="B47" s="85" t="s">
        <v>22</v>
      </c>
      <c r="C47" s="26">
        <f>+C133/C46</f>
        <v>341.33117377745066</v>
      </c>
      <c r="D47" s="26">
        <f t="shared" ref="D47:K47" si="17">+D133/D46</f>
        <v>199.33537694003218</v>
      </c>
      <c r="E47" s="26">
        <f t="shared" si="17"/>
        <v>150.1234596665104</v>
      </c>
      <c r="F47" s="26">
        <f t="shared" si="17"/>
        <v>126.45985487438462</v>
      </c>
      <c r="G47" s="26">
        <f t="shared" si="17"/>
        <v>112.3739606362672</v>
      </c>
      <c r="H47" s="26">
        <f t="shared" si="17"/>
        <v>102.43198324985909</v>
      </c>
      <c r="I47" s="26">
        <f t="shared" si="17"/>
        <v>95.511150747695226</v>
      </c>
      <c r="J47" s="26">
        <f t="shared" si="17"/>
        <v>90.263036489507442</v>
      </c>
      <c r="K47" s="95">
        <f t="shared" si="17"/>
        <v>86.144785899708609</v>
      </c>
      <c r="L47" s="87"/>
      <c r="M47" s="26"/>
      <c r="N47" s="26"/>
      <c r="O47" s="26"/>
      <c r="P47" s="26"/>
      <c r="Q47" s="26"/>
      <c r="R47" s="26"/>
      <c r="S47" s="26"/>
      <c r="T47" s="26"/>
      <c r="U47" s="26"/>
      <c r="V47" s="7"/>
      <c r="W47" s="7"/>
      <c r="X47" s="7"/>
      <c r="Y47" s="8"/>
      <c r="Z47" s="7"/>
      <c r="AA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 ht="15.6" customHeight="1">
      <c r="A48" s="85" t="s">
        <v>23</v>
      </c>
      <c r="B48" s="85" t="s">
        <v>23</v>
      </c>
      <c r="C48" s="26">
        <f>+C153/C46</f>
        <v>677.01089553130646</v>
      </c>
      <c r="D48" s="26">
        <f t="shared" ref="D48:K48" si="18">+D153/D46</f>
        <v>372.07513105918656</v>
      </c>
      <c r="E48" s="26">
        <f t="shared" si="18"/>
        <v>266.25098661035503</v>
      </c>
      <c r="F48" s="26">
        <f t="shared" si="18"/>
        <v>213.08662700661299</v>
      </c>
      <c r="G48" s="26">
        <f t="shared" si="18"/>
        <v>180.88056269557157</v>
      </c>
      <c r="H48" s="26">
        <f t="shared" si="18"/>
        <v>159.71343578883423</v>
      </c>
      <c r="I48" s="26">
        <f t="shared" si="18"/>
        <v>145.21801018838127</v>
      </c>
      <c r="J48" s="26">
        <f t="shared" si="18"/>
        <v>134.20418377259443</v>
      </c>
      <c r="K48" s="95">
        <f t="shared" si="18"/>
        <v>125.54387751176067</v>
      </c>
      <c r="L48" s="87"/>
      <c r="M48" s="26"/>
      <c r="N48" s="26"/>
      <c r="O48" s="26"/>
      <c r="P48" s="26"/>
      <c r="Q48" s="26"/>
      <c r="R48" s="26"/>
      <c r="S48" s="26"/>
      <c r="T48" s="26"/>
      <c r="U48" s="26"/>
      <c r="V48" s="7"/>
      <c r="W48" s="7"/>
      <c r="X48" s="7"/>
      <c r="Y48" s="8"/>
      <c r="Z48" s="7"/>
      <c r="AA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1:45" ht="15.6" customHeight="1">
      <c r="A49" s="85" t="s">
        <v>24</v>
      </c>
      <c r="B49" s="85" t="s">
        <v>24</v>
      </c>
      <c r="C49" s="26">
        <f>+C173/C46</f>
        <v>997.3679147762191</v>
      </c>
      <c r="D49" s="26">
        <f t="shared" ref="D49:K49" si="19">+D173/D46</f>
        <v>542.4611769195584</v>
      </c>
      <c r="E49" s="26">
        <f t="shared" si="19"/>
        <v>383.02440728438057</v>
      </c>
      <c r="F49" s="26">
        <f t="shared" si="19"/>
        <v>303.02137743393888</v>
      </c>
      <c r="G49" s="26">
        <f t="shared" si="19"/>
        <v>254.43011181003067</v>
      </c>
      <c r="H49" s="26">
        <f t="shared" si="19"/>
        <v>221.01850124633802</v>
      </c>
      <c r="I49" s="26">
        <f t="shared" si="19"/>
        <v>198.57686892369355</v>
      </c>
      <c r="J49" s="26">
        <f t="shared" si="19"/>
        <v>182.37821151519958</v>
      </c>
      <c r="K49" s="95">
        <f t="shared" si="19"/>
        <v>169.62040126552014</v>
      </c>
      <c r="L49" s="87"/>
      <c r="M49" s="26"/>
      <c r="N49" s="26"/>
      <c r="O49" s="26"/>
      <c r="P49" s="26"/>
      <c r="Q49" s="26"/>
      <c r="R49" s="26"/>
      <c r="S49" s="26"/>
      <c r="T49" s="26"/>
      <c r="U49" s="26"/>
      <c r="V49" s="7"/>
      <c r="W49" s="7"/>
      <c r="X49" s="7"/>
      <c r="Y49" s="8"/>
      <c r="Z49" s="7"/>
      <c r="AA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 ht="15.6" customHeight="1">
      <c r="A50" s="85" t="s">
        <v>89</v>
      </c>
      <c r="B50" s="85" t="s">
        <v>89</v>
      </c>
      <c r="C50" s="26">
        <f>+C263/C46</f>
        <v>621.58040517273639</v>
      </c>
      <c r="D50" s="26">
        <f t="shared" ref="D50:K50" si="20">+D263/D46</f>
        <v>379.31748886087001</v>
      </c>
      <c r="E50" s="26">
        <f t="shared" si="20"/>
        <v>283.89442559224955</v>
      </c>
      <c r="F50" s="26">
        <f t="shared" si="20"/>
        <v>231.89567584167952</v>
      </c>
      <c r="G50" s="26">
        <f t="shared" si="20"/>
        <v>199.08342272046247</v>
      </c>
      <c r="H50" s="26">
        <f t="shared" si="20"/>
        <v>176.38644954000284</v>
      </c>
      <c r="I50" s="26">
        <f t="shared" si="20"/>
        <v>160.90721952601453</v>
      </c>
      <c r="J50" s="26">
        <f t="shared" si="20"/>
        <v>153.62244975814238</v>
      </c>
      <c r="K50" s="95">
        <f t="shared" si="20"/>
        <v>147.7564088588241</v>
      </c>
      <c r="L50" s="87"/>
      <c r="M50" s="26"/>
      <c r="N50" s="26"/>
      <c r="O50" s="26"/>
      <c r="P50" s="26"/>
      <c r="Q50" s="26"/>
      <c r="R50" s="26"/>
      <c r="S50" s="26"/>
      <c r="T50" s="26"/>
      <c r="U50" s="26"/>
      <c r="V50" s="7"/>
      <c r="W50" s="7"/>
      <c r="X50" s="7"/>
      <c r="Y50" s="8"/>
      <c r="Z50" s="7"/>
      <c r="AA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</row>
    <row r="51" spans="1:45" ht="15.6" customHeight="1">
      <c r="A51" s="85" t="s">
        <v>90</v>
      </c>
      <c r="B51" s="85" t="s">
        <v>90</v>
      </c>
      <c r="C51" s="26">
        <f>+C283/C46</f>
        <v>990.82587118641766</v>
      </c>
      <c r="D51" s="26">
        <f t="shared" ref="D51:K51" si="21">+D283/D46</f>
        <v>591.60463848989673</v>
      </c>
      <c r="E51" s="26">
        <f t="shared" si="21"/>
        <v>433.75469788883294</v>
      </c>
      <c r="F51" s="26">
        <f t="shared" si="21"/>
        <v>349.29801168574915</v>
      </c>
      <c r="G51" s="26">
        <f t="shared" si="21"/>
        <v>295.67256188234489</v>
      </c>
      <c r="H51" s="26">
        <f t="shared" si="21"/>
        <v>257.89746313834166</v>
      </c>
      <c r="I51" s="26">
        <f t="shared" si="21"/>
        <v>230.60775299146809</v>
      </c>
      <c r="J51" s="26">
        <f t="shared" si="21"/>
        <v>209.67780536418744</v>
      </c>
      <c r="K51" s="95">
        <f t="shared" si="21"/>
        <v>193.10864255439012</v>
      </c>
      <c r="L51" s="7"/>
      <c r="M51" s="26"/>
      <c r="N51" s="26"/>
      <c r="O51" s="26"/>
      <c r="P51" s="26"/>
      <c r="Q51" s="26"/>
      <c r="R51" s="26"/>
      <c r="S51" s="26"/>
      <c r="T51" s="26"/>
      <c r="U51" s="26"/>
      <c r="V51" s="7"/>
      <c r="W51" s="7"/>
      <c r="X51" s="7"/>
      <c r="Y51" s="8"/>
      <c r="Z51" s="7"/>
      <c r="AA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:45" ht="15.6" customHeight="1" thickBot="1">
      <c r="A52" s="88" t="s">
        <v>91</v>
      </c>
      <c r="B52" s="88" t="s">
        <v>91</v>
      </c>
      <c r="C52" s="96">
        <f>+C303/C46</f>
        <v>1229.4148090708834</v>
      </c>
      <c r="D52" s="96">
        <f t="shared" ref="D52:K52" si="22">+D303/D46</f>
        <v>716.14751177439757</v>
      </c>
      <c r="E52" s="96">
        <f t="shared" si="22"/>
        <v>518.6619170771678</v>
      </c>
      <c r="F52" s="96">
        <f t="shared" si="22"/>
        <v>415.91601145475141</v>
      </c>
      <c r="G52" s="96">
        <f t="shared" si="22"/>
        <v>351.2086563019156</v>
      </c>
      <c r="H52" s="96">
        <f t="shared" si="22"/>
        <v>305.26099856442835</v>
      </c>
      <c r="I52" s="96">
        <f t="shared" si="22"/>
        <v>272.63028434922586</v>
      </c>
      <c r="J52" s="96">
        <f t="shared" si="22"/>
        <v>247.65518066327931</v>
      </c>
      <c r="K52" s="97">
        <f t="shared" si="22"/>
        <v>227.91205178819359</v>
      </c>
      <c r="L52" s="7"/>
      <c r="M52" s="26"/>
      <c r="N52" s="26"/>
      <c r="O52" s="26"/>
      <c r="P52" s="26"/>
      <c r="Q52" s="26"/>
      <c r="R52" s="26"/>
      <c r="S52" s="26"/>
      <c r="T52" s="26"/>
      <c r="U52" s="26"/>
      <c r="V52" s="7"/>
      <c r="W52" s="7"/>
      <c r="X52" s="7"/>
      <c r="Y52" s="8"/>
      <c r="Z52" s="7"/>
      <c r="AA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1:45" ht="15.6" customHeight="1">
      <c r="A53" s="17"/>
      <c r="B53" s="17"/>
      <c r="C53" s="17"/>
      <c r="D53" s="17"/>
      <c r="E53" s="17"/>
      <c r="F53" s="17"/>
      <c r="G53" s="18"/>
      <c r="H53" s="17"/>
      <c r="I53" s="17"/>
      <c r="J53" s="17"/>
      <c r="K53" s="17"/>
      <c r="L53" s="7"/>
      <c r="M53" s="26"/>
      <c r="N53" s="26"/>
      <c r="O53" s="26"/>
      <c r="P53" s="26"/>
      <c r="Q53" s="26"/>
      <c r="R53" s="26"/>
      <c r="S53" s="26"/>
      <c r="T53" s="26"/>
      <c r="U53" s="26"/>
      <c r="V53" s="7"/>
      <c r="W53" s="7"/>
      <c r="X53" s="7"/>
      <c r="Y53" s="8"/>
      <c r="Z53" s="7"/>
      <c r="AA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 ht="15.6" customHeight="1">
      <c r="A54" s="7"/>
      <c r="B54" s="7"/>
      <c r="C54" s="7"/>
      <c r="D54" s="7"/>
      <c r="E54" s="7"/>
      <c r="F54" s="7"/>
      <c r="G54" s="21"/>
      <c r="H54" s="7"/>
      <c r="I54" s="7"/>
      <c r="J54" s="7"/>
      <c r="K54" s="7"/>
      <c r="L54" s="7"/>
      <c r="M54" s="26"/>
      <c r="N54" s="26"/>
      <c r="O54" s="26"/>
      <c r="P54" s="26"/>
      <c r="Q54" s="26"/>
      <c r="R54" s="26"/>
      <c r="S54" s="26"/>
      <c r="T54" s="26"/>
      <c r="U54" s="26"/>
      <c r="V54" s="7"/>
      <c r="W54" s="7"/>
      <c r="X54" s="7"/>
      <c r="Y54" s="8"/>
      <c r="Z54" s="7"/>
      <c r="AA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>
      <c r="A55" s="27" t="s">
        <v>2</v>
      </c>
      <c r="B55" s="27"/>
      <c r="C55" s="28" t="s">
        <v>3</v>
      </c>
      <c r="D55" s="28" t="s">
        <v>3</v>
      </c>
      <c r="E55" s="28" t="s">
        <v>3</v>
      </c>
      <c r="F55" s="28" t="s">
        <v>3</v>
      </c>
      <c r="G55" s="29" t="s">
        <v>3</v>
      </c>
      <c r="H55" s="7"/>
      <c r="I55" s="7"/>
      <c r="J55" s="7"/>
      <c r="K55" s="7"/>
      <c r="L55" s="7"/>
      <c r="M55" s="26"/>
      <c r="N55" s="26"/>
      <c r="O55" s="26"/>
      <c r="P55" s="26"/>
      <c r="Q55" s="26"/>
      <c r="R55" s="26"/>
      <c r="S55" s="26"/>
      <c r="T55" s="26"/>
      <c r="U55" s="26"/>
      <c r="V55" s="7"/>
      <c r="W55" s="7"/>
      <c r="X55" s="7"/>
      <c r="Y55" s="8"/>
      <c r="Z55" s="7"/>
      <c r="AA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</row>
    <row r="56" spans="1:45">
      <c r="A56" s="27" t="s">
        <v>4</v>
      </c>
      <c r="B56" s="27"/>
      <c r="C56" s="30">
        <v>200</v>
      </c>
      <c r="D56" s="30">
        <v>400</v>
      </c>
      <c r="E56" s="30">
        <v>600</v>
      </c>
      <c r="F56" s="30">
        <v>800</v>
      </c>
      <c r="G56" s="31">
        <v>1000</v>
      </c>
      <c r="H56" s="30">
        <v>1200</v>
      </c>
      <c r="I56" s="30">
        <v>1400</v>
      </c>
      <c r="J56" s="30">
        <v>1600</v>
      </c>
      <c r="K56" s="30">
        <v>1800</v>
      </c>
      <c r="L56" s="7"/>
      <c r="M56" s="26"/>
      <c r="N56" s="26"/>
      <c r="O56" s="26"/>
      <c r="P56" s="26"/>
      <c r="Q56" s="26"/>
      <c r="R56" s="26"/>
      <c r="S56" s="26"/>
      <c r="T56" s="26"/>
      <c r="U56" s="26"/>
      <c r="V56" s="7"/>
      <c r="W56" s="7"/>
      <c r="X56" s="7"/>
      <c r="Y56" s="8"/>
      <c r="Z56" s="7"/>
      <c r="AA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</row>
    <row r="57" spans="1:45">
      <c r="A57" s="32"/>
      <c r="B57" s="32"/>
      <c r="C57" s="33"/>
      <c r="D57" s="33"/>
      <c r="E57" s="33"/>
      <c r="F57" s="33"/>
      <c r="G57" s="34"/>
      <c r="H57" s="33"/>
      <c r="I57" s="33"/>
      <c r="J57" s="33"/>
      <c r="K57" s="33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7"/>
      <c r="W57" s="7"/>
      <c r="X57" s="7"/>
      <c r="Y57" s="8"/>
      <c r="Z57" s="7"/>
      <c r="AA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</row>
    <row r="58" spans="1:45">
      <c r="A58" s="27" t="s">
        <v>16</v>
      </c>
      <c r="B58" s="27"/>
      <c r="C58" s="30">
        <f t="shared" ref="C58:K58" si="23">C56/$C$6/$D$6/IF(C56&lt;501,0.73,IF(C56&lt;1001,0.78,0.8))/$D$14</f>
        <v>36.239762267159527</v>
      </c>
      <c r="D58" s="30">
        <f t="shared" si="23"/>
        <v>72.479524534319054</v>
      </c>
      <c r="E58" s="30">
        <f t="shared" si="23"/>
        <v>101.75010175010175</v>
      </c>
      <c r="F58" s="30">
        <f t="shared" si="23"/>
        <v>135.66680233346898</v>
      </c>
      <c r="G58" s="30">
        <f t="shared" si="23"/>
        <v>169.58350291683624</v>
      </c>
      <c r="H58" s="30">
        <f t="shared" si="23"/>
        <v>198.41269841269838</v>
      </c>
      <c r="I58" s="30">
        <f t="shared" si="23"/>
        <v>231.4814814814815</v>
      </c>
      <c r="J58" s="30">
        <f t="shared" si="23"/>
        <v>264.55026455026456</v>
      </c>
      <c r="K58" s="30">
        <f t="shared" si="23"/>
        <v>297.61904761904765</v>
      </c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7"/>
      <c r="W58" s="7"/>
      <c r="X58" s="7"/>
      <c r="Y58" s="8"/>
    </row>
    <row r="59" spans="1:45">
      <c r="A59" s="27" t="s">
        <v>5</v>
      </c>
      <c r="B59" s="27"/>
      <c r="C59" s="30">
        <f t="shared" ref="C59:K59" si="24">IF($G$7=0,0,C56/$C$7/$D$7/IF(C56&lt;501,-0.0089*$D$7+0.8649,IF(C56&lt;1001,-0.0064*$D$7+0.8801,-0.0053*$D$7+0.8866)))/$D$14</f>
        <v>0</v>
      </c>
      <c r="D59" s="30">
        <f t="shared" si="24"/>
        <v>0</v>
      </c>
      <c r="E59" s="30">
        <f t="shared" si="24"/>
        <v>0</v>
      </c>
      <c r="F59" s="30">
        <f t="shared" si="24"/>
        <v>0</v>
      </c>
      <c r="G59" s="31">
        <f t="shared" si="24"/>
        <v>0</v>
      </c>
      <c r="H59" s="30">
        <f t="shared" si="24"/>
        <v>0</v>
      </c>
      <c r="I59" s="30">
        <f t="shared" si="24"/>
        <v>0</v>
      </c>
      <c r="J59" s="30">
        <f t="shared" si="24"/>
        <v>0</v>
      </c>
      <c r="K59" s="30">
        <f t="shared" si="24"/>
        <v>0</v>
      </c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7"/>
      <c r="Y59" s="8"/>
    </row>
    <row r="60" spans="1:45">
      <c r="A60" s="27" t="s">
        <v>6</v>
      </c>
      <c r="B60" s="27"/>
      <c r="C60" s="30">
        <f t="shared" ref="C60:K60" si="25">IF($G$8=0,0,C56/$C$8/$D$8/IF(C56&lt;501,-0.0089*$D$8+0.8649,IF(C56&lt;1001,-0.0064*$D$8+0.8801,-0.0053*$D$8+0.8866)))/$D$14</f>
        <v>7.0433791597592021</v>
      </c>
      <c r="D60" s="30">
        <f t="shared" si="25"/>
        <v>14.086758319518404</v>
      </c>
      <c r="E60" s="30">
        <f t="shared" si="25"/>
        <v>20.473621402304872</v>
      </c>
      <c r="F60" s="30">
        <f t="shared" si="25"/>
        <v>27.298161869739825</v>
      </c>
      <c r="G60" s="31">
        <f t="shared" si="25"/>
        <v>34.122702337174779</v>
      </c>
      <c r="H60" s="30">
        <f t="shared" si="25"/>
        <v>40.403810836933381</v>
      </c>
      <c r="I60" s="30">
        <f t="shared" si="25"/>
        <v>47.137779309755608</v>
      </c>
      <c r="J60" s="30">
        <f t="shared" si="25"/>
        <v>53.871747782577827</v>
      </c>
      <c r="K60" s="30">
        <f t="shared" si="25"/>
        <v>60.605716255400061</v>
      </c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7"/>
      <c r="X60" s="7"/>
      <c r="Y60" s="8"/>
      <c r="Z60" s="7"/>
      <c r="AA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</row>
    <row r="61" spans="1:45">
      <c r="A61" s="27" t="s">
        <v>7</v>
      </c>
      <c r="B61" s="27"/>
      <c r="C61" s="30">
        <f t="shared" ref="C61:K61" si="26">IF($G$9=0,0,C56/$C$9/$D$9/IF(C56&lt;501,-0.0347*$D$9+0.5604,IF(C96&lt;1001,-0.0348*$D$9+0.5736,-0.0348*$D$9+0.579)))/$D$14</f>
        <v>27.056057445421168</v>
      </c>
      <c r="D61" s="30">
        <f t="shared" si="26"/>
        <v>54.112114890842335</v>
      </c>
      <c r="E61" s="30">
        <f t="shared" si="26"/>
        <v>78.936566575100244</v>
      </c>
      <c r="F61" s="30">
        <f t="shared" si="26"/>
        <v>105.24875543346701</v>
      </c>
      <c r="G61" s="31">
        <f t="shared" si="26"/>
        <v>131.56094429183375</v>
      </c>
      <c r="H61" s="30">
        <f t="shared" si="26"/>
        <v>156.076852242044</v>
      </c>
      <c r="I61" s="30">
        <f t="shared" si="26"/>
        <v>182.08966094905134</v>
      </c>
      <c r="J61" s="30">
        <f t="shared" si="26"/>
        <v>208.10246965605867</v>
      </c>
      <c r="K61" s="30">
        <f t="shared" si="26"/>
        <v>234.11527836306598</v>
      </c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7"/>
      <c r="X61" s="7"/>
      <c r="Y61" s="8"/>
      <c r="Z61" s="7"/>
      <c r="AA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</row>
    <row r="62" spans="1:45" s="36" customFormat="1">
      <c r="A62" s="27" t="s">
        <v>8</v>
      </c>
      <c r="B62" s="27"/>
      <c r="C62" s="30">
        <f t="shared" ref="C62:K62" si="27">IF($G$10=0,0,C56/$C$10/$D$10/IF(C56&lt;501,-0.0099*$D$10+0.8474,IF(C56&lt;1001,-0.007*$D$10+0.8544,-0.0057*$D$10+0.8573)))/$D$14</f>
        <v>9.2836287848194097</v>
      </c>
      <c r="D62" s="30">
        <f t="shared" si="27"/>
        <v>18.567257569638819</v>
      </c>
      <c r="E62" s="30">
        <f t="shared" si="27"/>
        <v>27.120114989287551</v>
      </c>
      <c r="F62" s="30">
        <f t="shared" si="27"/>
        <v>36.160153319050067</v>
      </c>
      <c r="G62" s="31">
        <f t="shared" si="27"/>
        <v>45.200191648812577</v>
      </c>
      <c r="H62" s="30">
        <f t="shared" si="27"/>
        <v>53.625053625053624</v>
      </c>
      <c r="I62" s="30">
        <f t="shared" si="27"/>
        <v>62.562562562562569</v>
      </c>
      <c r="J62" s="30">
        <f t="shared" si="27"/>
        <v>71.500071500071513</v>
      </c>
      <c r="K62" s="30">
        <f t="shared" si="27"/>
        <v>80.437580437580436</v>
      </c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7"/>
      <c r="X62" s="16"/>
      <c r="Y62" s="35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</row>
    <row r="63" spans="1:45" s="36" customFormat="1">
      <c r="A63" s="27" t="s">
        <v>67</v>
      </c>
      <c r="B63" s="27"/>
      <c r="C63" s="30">
        <f t="shared" ref="C63:K63" si="28">+C56*0.1++C58-C58*$D$19</f>
        <v>56.239762267159527</v>
      </c>
      <c r="D63" s="30">
        <f t="shared" si="28"/>
        <v>112.47952453431905</v>
      </c>
      <c r="E63" s="30">
        <f t="shared" si="28"/>
        <v>161.75010175010175</v>
      </c>
      <c r="F63" s="30">
        <f t="shared" si="28"/>
        <v>215.66680233346898</v>
      </c>
      <c r="G63" s="30">
        <f t="shared" si="28"/>
        <v>269.58350291683621</v>
      </c>
      <c r="H63" s="30">
        <f t="shared" si="28"/>
        <v>318.41269841269838</v>
      </c>
      <c r="I63" s="30">
        <f t="shared" si="28"/>
        <v>371.48148148148152</v>
      </c>
      <c r="J63" s="30">
        <f t="shared" si="28"/>
        <v>424.55026455026456</v>
      </c>
      <c r="K63" s="30">
        <f t="shared" si="28"/>
        <v>477.61904761904765</v>
      </c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7"/>
      <c r="X63" s="16"/>
      <c r="Y63" s="35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</row>
    <row r="64" spans="1:45" s="36" customFormat="1">
      <c r="A64" s="27" t="s">
        <v>71</v>
      </c>
      <c r="B64" s="27"/>
      <c r="C64" s="30">
        <f t="shared" ref="C64:K64" si="29">SUM(C59:C62)+C58*$D$19+0.02*C56</f>
        <v>47.383065389999786</v>
      </c>
      <c r="D64" s="30">
        <f t="shared" si="29"/>
        <v>94.766130779999571</v>
      </c>
      <c r="E64" s="30">
        <f t="shared" si="29"/>
        <v>138.53030296669266</v>
      </c>
      <c r="F64" s="30">
        <f t="shared" si="29"/>
        <v>184.70707062225691</v>
      </c>
      <c r="G64" s="30">
        <f t="shared" si="29"/>
        <v>230.8838382778211</v>
      </c>
      <c r="H64" s="30">
        <f t="shared" si="29"/>
        <v>274.10571670403101</v>
      </c>
      <c r="I64" s="30">
        <f t="shared" si="29"/>
        <v>319.79000282136951</v>
      </c>
      <c r="J64" s="30">
        <f t="shared" si="29"/>
        <v>365.47428893870801</v>
      </c>
      <c r="K64" s="30">
        <f t="shared" si="29"/>
        <v>411.15857505604646</v>
      </c>
      <c r="L64" s="26"/>
      <c r="M64" s="26"/>
      <c r="N64" s="27"/>
      <c r="O64" s="26"/>
      <c r="P64" s="26"/>
      <c r="Q64" s="26"/>
      <c r="R64" s="26"/>
      <c r="S64" s="26"/>
      <c r="T64" s="26"/>
      <c r="U64" s="26"/>
      <c r="V64" s="26"/>
      <c r="W64" s="27"/>
      <c r="X64" s="16"/>
      <c r="Y64" s="35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</row>
    <row r="65" spans="1:45" s="36" customFormat="1">
      <c r="A65" s="27" t="s">
        <v>97</v>
      </c>
      <c r="B65" s="27"/>
      <c r="C65" s="30">
        <f t="shared" ref="C65:K65" si="30">+C64+C63+C58+$D$20</f>
        <v>189.86258992431885</v>
      </c>
      <c r="D65" s="30">
        <f t="shared" si="30"/>
        <v>329.72517984863771</v>
      </c>
      <c r="E65" s="30">
        <f t="shared" si="30"/>
        <v>452.03050646689616</v>
      </c>
      <c r="F65" s="30">
        <f t="shared" si="30"/>
        <v>586.04067528919495</v>
      </c>
      <c r="G65" s="30">
        <f t="shared" si="30"/>
        <v>720.05084411149357</v>
      </c>
      <c r="H65" s="30">
        <f t="shared" si="30"/>
        <v>840.93111352942765</v>
      </c>
      <c r="I65" s="30">
        <f t="shared" si="30"/>
        <v>972.75296578433256</v>
      </c>
      <c r="J65" s="30">
        <f t="shared" si="30"/>
        <v>1104.574818039237</v>
      </c>
      <c r="K65" s="30">
        <f t="shared" si="30"/>
        <v>1236.3966702941418</v>
      </c>
      <c r="L65" s="26"/>
      <c r="M65" s="26"/>
      <c r="N65" s="37"/>
      <c r="O65" s="26"/>
      <c r="P65" s="26"/>
      <c r="Q65" s="26"/>
      <c r="R65" s="26"/>
      <c r="S65" s="26"/>
      <c r="T65" s="26"/>
      <c r="U65" s="26"/>
      <c r="V65" s="26"/>
      <c r="W65" s="27"/>
      <c r="X65" s="16"/>
      <c r="Y65" s="35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</row>
    <row r="66" spans="1:45">
      <c r="A66" s="37" t="s">
        <v>9</v>
      </c>
      <c r="B66" s="37"/>
      <c r="C66" s="30">
        <f t="shared" ref="C66:K66" si="31">+C64/$D$18</f>
        <v>5.9228831737499732</v>
      </c>
      <c r="D66" s="30">
        <f t="shared" si="31"/>
        <v>11.845766347499946</v>
      </c>
      <c r="E66" s="30">
        <f t="shared" si="31"/>
        <v>17.316287870836582</v>
      </c>
      <c r="F66" s="30">
        <f t="shared" si="31"/>
        <v>23.088383827782113</v>
      </c>
      <c r="G66" s="31">
        <f t="shared" si="31"/>
        <v>28.860479784727637</v>
      </c>
      <c r="H66" s="30">
        <f t="shared" si="31"/>
        <v>34.263214588003876</v>
      </c>
      <c r="I66" s="30">
        <f t="shared" si="31"/>
        <v>39.973750352671189</v>
      </c>
      <c r="J66" s="30">
        <f t="shared" si="31"/>
        <v>45.684286117338502</v>
      </c>
      <c r="K66" s="30">
        <f t="shared" si="31"/>
        <v>51.394821882005807</v>
      </c>
      <c r="L66" s="26"/>
      <c r="M66" s="26"/>
      <c r="N66" s="37"/>
      <c r="O66" s="7"/>
      <c r="P66" s="8"/>
      <c r="Q66" s="7"/>
      <c r="R66" s="7"/>
      <c r="S66" s="7"/>
      <c r="T66" s="7"/>
      <c r="U66" s="26"/>
      <c r="V66" s="26"/>
      <c r="W66" s="27"/>
      <c r="X66" s="7"/>
      <c r="Y66" s="8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</row>
    <row r="67" spans="1:45">
      <c r="A67" s="37" t="s">
        <v>44</v>
      </c>
      <c r="B67" s="37"/>
      <c r="C67" s="30">
        <f t="shared" ref="C67:K67" si="32">+C56/C66</f>
        <v>33.767338327116349</v>
      </c>
      <c r="D67" s="30">
        <f t="shared" si="32"/>
        <v>33.767338327116349</v>
      </c>
      <c r="E67" s="30">
        <f t="shared" si="32"/>
        <v>34.649458618119688</v>
      </c>
      <c r="F67" s="30">
        <f t="shared" si="32"/>
        <v>34.649458618119681</v>
      </c>
      <c r="G67" s="31">
        <f t="shared" si="32"/>
        <v>34.649458618119688</v>
      </c>
      <c r="H67" s="30">
        <f t="shared" si="32"/>
        <v>35.02298352414779</v>
      </c>
      <c r="I67" s="30">
        <f t="shared" si="32"/>
        <v>35.02298352414779</v>
      </c>
      <c r="J67" s="30">
        <f t="shared" si="32"/>
        <v>35.02298352414779</v>
      </c>
      <c r="K67" s="30">
        <f t="shared" si="32"/>
        <v>35.022983524147797</v>
      </c>
      <c r="L67" s="26"/>
      <c r="M67" s="26"/>
      <c r="N67" s="37"/>
      <c r="O67" s="7"/>
      <c r="P67" s="8"/>
      <c r="Q67" s="7"/>
      <c r="R67" s="7"/>
      <c r="S67" s="7"/>
      <c r="T67" s="7"/>
      <c r="U67" s="26"/>
      <c r="V67" s="26"/>
      <c r="W67" s="37"/>
      <c r="X67" s="7"/>
      <c r="Y67" s="8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>
      <c r="A68" s="37" t="s">
        <v>34</v>
      </c>
      <c r="B68" s="37"/>
      <c r="C68" s="30">
        <f t="shared" ref="C68:K68" si="33">IF(6000/C65&gt;12,12,6000/C65)</f>
        <v>12</v>
      </c>
      <c r="D68" s="30">
        <f t="shared" si="33"/>
        <v>12</v>
      </c>
      <c r="E68" s="30">
        <f t="shared" si="33"/>
        <v>12</v>
      </c>
      <c r="F68" s="30">
        <f t="shared" si="33"/>
        <v>10.238197198580398</v>
      </c>
      <c r="G68" s="31">
        <f t="shared" si="33"/>
        <v>8.3327449013738715</v>
      </c>
      <c r="H68" s="30">
        <f t="shared" si="33"/>
        <v>7.1349482775321702</v>
      </c>
      <c r="I68" s="30">
        <f t="shared" si="33"/>
        <v>6.1680613794502168</v>
      </c>
      <c r="J68" s="30">
        <f t="shared" si="33"/>
        <v>5.4319543610914245</v>
      </c>
      <c r="K68" s="30">
        <f t="shared" si="33"/>
        <v>4.8528115160424896</v>
      </c>
      <c r="L68" s="26"/>
      <c r="M68" s="26"/>
      <c r="N68" s="37"/>
      <c r="O68" s="7"/>
      <c r="P68" s="8"/>
      <c r="Q68" s="7"/>
      <c r="R68" s="7"/>
      <c r="S68" s="7"/>
      <c r="T68" s="7"/>
      <c r="U68" s="26"/>
      <c r="V68" s="26"/>
      <c r="W68" s="37"/>
      <c r="X68" s="7"/>
      <c r="Y68" s="8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>
      <c r="A69" s="37" t="s">
        <v>74</v>
      </c>
      <c r="B69" s="37"/>
      <c r="C69" s="30">
        <f t="shared" ref="C69:K69" si="34">AVERAGE(C58:C62)</f>
        <v>15.924565531431861</v>
      </c>
      <c r="D69" s="30">
        <f t="shared" si="34"/>
        <v>31.849131062863723</v>
      </c>
      <c r="E69" s="30">
        <f t="shared" si="34"/>
        <v>45.65608094335888</v>
      </c>
      <c r="F69" s="30">
        <f t="shared" si="34"/>
        <v>60.874774591145183</v>
      </c>
      <c r="G69" s="31">
        <f t="shared" si="34"/>
        <v>76.093468238931464</v>
      </c>
      <c r="H69" s="30">
        <f t="shared" si="34"/>
        <v>89.703683023345874</v>
      </c>
      <c r="I69" s="30">
        <f t="shared" si="34"/>
        <v>104.65429686057021</v>
      </c>
      <c r="J69" s="30">
        <f t="shared" si="34"/>
        <v>119.60491069779451</v>
      </c>
      <c r="K69" s="30">
        <f t="shared" si="34"/>
        <v>134.55552453501883</v>
      </c>
      <c r="L69" s="26"/>
      <c r="M69" s="26"/>
      <c r="N69" s="37"/>
      <c r="O69" s="7"/>
      <c r="P69" s="8"/>
      <c r="Q69" s="7"/>
      <c r="R69" s="7"/>
      <c r="S69" s="7"/>
      <c r="T69" s="7"/>
      <c r="U69" s="26"/>
      <c r="V69" s="26"/>
      <c r="W69" s="37"/>
      <c r="X69" s="7"/>
      <c r="Y69" s="8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</row>
    <row r="70" spans="1:45">
      <c r="A70" s="37" t="s">
        <v>73</v>
      </c>
      <c r="B70" s="37"/>
      <c r="C70" s="30">
        <v>15</v>
      </c>
      <c r="D70" s="30">
        <v>15</v>
      </c>
      <c r="E70" s="30">
        <v>15</v>
      </c>
      <c r="F70" s="30">
        <v>15</v>
      </c>
      <c r="G70" s="30">
        <v>15</v>
      </c>
      <c r="H70" s="30">
        <v>15</v>
      </c>
      <c r="I70" s="30">
        <v>15</v>
      </c>
      <c r="J70" s="30">
        <v>15</v>
      </c>
      <c r="K70" s="30">
        <v>15</v>
      </c>
      <c r="L70" s="75"/>
      <c r="M70" s="75"/>
      <c r="N70" s="76"/>
      <c r="O70" s="7"/>
      <c r="P70" s="8"/>
      <c r="Q70" s="7"/>
      <c r="R70" s="7"/>
      <c r="S70" s="7"/>
      <c r="T70" s="7"/>
      <c r="U70" s="26"/>
      <c r="V70" s="26"/>
      <c r="W70" s="37"/>
      <c r="X70" s="7"/>
      <c r="Y70" s="8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</row>
    <row r="71" spans="1:45">
      <c r="A71" s="38" t="s">
        <v>43</v>
      </c>
      <c r="B71" s="38"/>
      <c r="C71" s="39">
        <f t="shared" ref="C71:K71" si="35">100-($N$7+$N$8*$D$22+$N$9*C67+$N$10*C56+$N$11*$D$22*C56+$N$12*C67^2+$N$13*C67*C56+$N$14*C56^2+$N$15*$D$22*C67*C56)</f>
        <v>14.689593121382075</v>
      </c>
      <c r="D71" s="39">
        <f t="shared" si="35"/>
        <v>17.533261115888223</v>
      </c>
      <c r="E71" s="39">
        <f t="shared" si="35"/>
        <v>20.299058147006846</v>
      </c>
      <c r="F71" s="39">
        <f t="shared" si="35"/>
        <v>23.278203197423124</v>
      </c>
      <c r="G71" s="39">
        <f t="shared" si="35"/>
        <v>26.337348247839387</v>
      </c>
      <c r="H71" s="39">
        <f t="shared" si="35"/>
        <v>29.378983518489207</v>
      </c>
      <c r="I71" s="39">
        <f t="shared" si="35"/>
        <v>32.587744576517906</v>
      </c>
      <c r="J71" s="39">
        <f t="shared" si="35"/>
        <v>35.876505634546589</v>
      </c>
      <c r="K71" s="39">
        <f t="shared" si="35"/>
        <v>39.245266692575271</v>
      </c>
      <c r="L71" s="21"/>
      <c r="M71" s="21"/>
      <c r="N71" s="21"/>
      <c r="O71" s="7"/>
      <c r="P71" s="8"/>
      <c r="Q71" s="7"/>
      <c r="R71" s="7"/>
      <c r="S71" s="7"/>
      <c r="T71" s="7"/>
      <c r="U71" s="26"/>
      <c r="V71" s="26"/>
      <c r="W71" s="37"/>
      <c r="X71" s="7"/>
      <c r="Y71" s="8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</row>
    <row r="72" spans="1:45" s="77" customFormat="1" ht="14.4" customHeight="1">
      <c r="A72" s="40"/>
      <c r="B72" s="40"/>
      <c r="C72" s="31"/>
      <c r="D72" s="31"/>
      <c r="E72" s="31"/>
      <c r="F72" s="31"/>
      <c r="G72" s="31"/>
      <c r="H72" s="31"/>
      <c r="I72" s="31"/>
      <c r="J72" s="31"/>
      <c r="K72" s="31"/>
      <c r="L72" s="21"/>
      <c r="M72" s="21"/>
      <c r="N72" s="21"/>
      <c r="P72" s="78"/>
      <c r="U72" s="75"/>
      <c r="V72" s="75"/>
      <c r="W72" s="76"/>
      <c r="Y72" s="78"/>
    </row>
    <row r="73" spans="1:45" s="12" customFormat="1">
      <c r="A73" s="40"/>
      <c r="B73" s="40"/>
      <c r="C73" s="31"/>
      <c r="D73" s="31"/>
      <c r="E73" s="31"/>
      <c r="F73" s="31"/>
      <c r="G73" s="31"/>
      <c r="H73" s="31"/>
      <c r="I73" s="31"/>
      <c r="J73" s="31"/>
      <c r="K73" s="31"/>
      <c r="L73" s="21"/>
      <c r="M73" s="21"/>
      <c r="N73" s="21"/>
      <c r="O73" s="21"/>
      <c r="P73" s="41"/>
      <c r="Q73" s="21"/>
      <c r="R73" s="21"/>
      <c r="S73" s="21"/>
      <c r="T73" s="21"/>
      <c r="U73" s="21"/>
      <c r="V73" s="21"/>
      <c r="W73" s="21"/>
      <c r="X73" s="21"/>
      <c r="Y73" s="4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</row>
    <row r="74" spans="1:45" s="12" customFormat="1">
      <c r="A74" s="29"/>
      <c r="B74" s="29"/>
      <c r="C74" s="42"/>
      <c r="D74" s="42"/>
      <c r="E74" s="42"/>
      <c r="F74" s="42"/>
      <c r="G74" s="42"/>
      <c r="H74" s="42"/>
      <c r="I74" s="42"/>
      <c r="J74" s="42"/>
      <c r="K74" s="42"/>
      <c r="L74" s="21"/>
      <c r="M74" s="21"/>
      <c r="N74" s="21"/>
      <c r="O74" s="21"/>
      <c r="P74" s="41"/>
      <c r="Q74" s="21"/>
      <c r="R74" s="21"/>
      <c r="S74" s="21"/>
      <c r="T74" s="21"/>
      <c r="U74" s="21"/>
      <c r="V74" s="21"/>
      <c r="W74" s="21"/>
      <c r="X74" s="21"/>
      <c r="Y74" s="4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</row>
    <row r="75" spans="1:45" s="12" customFormat="1">
      <c r="A75" s="29" t="s">
        <v>10</v>
      </c>
      <c r="B75" s="29"/>
      <c r="C75" s="42" t="s">
        <v>3</v>
      </c>
      <c r="D75" s="42" t="s">
        <v>3</v>
      </c>
      <c r="E75" s="42" t="s">
        <v>3</v>
      </c>
      <c r="F75" s="42" t="s">
        <v>3</v>
      </c>
      <c r="G75" s="42" t="s">
        <v>3</v>
      </c>
      <c r="H75" s="42" t="s">
        <v>3</v>
      </c>
      <c r="I75" s="42" t="s">
        <v>3</v>
      </c>
      <c r="J75" s="42" t="s">
        <v>3</v>
      </c>
      <c r="K75" s="42" t="s">
        <v>3</v>
      </c>
      <c r="L75" s="21"/>
      <c r="M75" s="21"/>
      <c r="N75" s="21"/>
      <c r="O75" s="21"/>
      <c r="P75" s="41"/>
      <c r="Q75" s="21"/>
      <c r="R75" s="21"/>
      <c r="S75" s="21"/>
      <c r="T75" s="21"/>
      <c r="U75" s="21"/>
      <c r="V75" s="21"/>
      <c r="W75" s="21"/>
      <c r="X75" s="21"/>
      <c r="Y75" s="4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</row>
    <row r="76" spans="1:45" s="12" customFormat="1">
      <c r="A76" s="29" t="s">
        <v>4</v>
      </c>
      <c r="B76" s="29"/>
      <c r="C76" s="31">
        <v>200</v>
      </c>
      <c r="D76" s="31">
        <v>400</v>
      </c>
      <c r="E76" s="31">
        <v>600</v>
      </c>
      <c r="F76" s="31">
        <v>800</v>
      </c>
      <c r="G76" s="31">
        <v>1000</v>
      </c>
      <c r="H76" s="31">
        <v>1200</v>
      </c>
      <c r="I76" s="31">
        <v>1400</v>
      </c>
      <c r="J76" s="31">
        <v>1600</v>
      </c>
      <c r="K76" s="31">
        <v>1800</v>
      </c>
      <c r="L76" s="21"/>
      <c r="M76" s="21"/>
      <c r="N76" s="21"/>
      <c r="O76" s="21"/>
      <c r="P76" s="41"/>
      <c r="Q76" s="21"/>
      <c r="R76" s="21"/>
      <c r="S76" s="21"/>
      <c r="T76" s="21"/>
      <c r="U76" s="21"/>
      <c r="V76" s="21"/>
      <c r="W76" s="21"/>
      <c r="X76" s="21"/>
      <c r="Y76" s="4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</row>
    <row r="77" spans="1:45" s="12" customFormat="1">
      <c r="A77" s="43"/>
      <c r="B77" s="43"/>
      <c r="C77" s="34"/>
      <c r="D77" s="34"/>
      <c r="E77" s="34"/>
      <c r="F77" s="34"/>
      <c r="G77" s="34"/>
      <c r="H77" s="34"/>
      <c r="I77" s="34"/>
      <c r="J77" s="34"/>
      <c r="K77" s="34"/>
      <c r="L77" s="26"/>
      <c r="M77" s="26"/>
      <c r="N77" s="21"/>
      <c r="O77" s="21"/>
      <c r="P77" s="41"/>
      <c r="Q77" s="21"/>
      <c r="R77" s="21"/>
      <c r="S77" s="21"/>
      <c r="T77" s="21"/>
      <c r="U77" s="21"/>
      <c r="V77" s="21"/>
      <c r="W77" s="21"/>
      <c r="X77" s="21"/>
      <c r="Y77" s="4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</row>
    <row r="78" spans="1:45" s="12" customFormat="1">
      <c r="A78" s="29" t="str">
        <f t="shared" ref="A78:A88" si="36">+A58</f>
        <v>Pløying</v>
      </c>
      <c r="B78" s="29"/>
      <c r="C78" s="30">
        <f t="shared" ref="C78:K78" si="37">C76/$C$6/$E$6/IF(C76&lt;501,0.73,IF(C76&lt;1001,0.78,0.8))/$D$14</f>
        <v>18.119881133579764</v>
      </c>
      <c r="D78" s="30">
        <f t="shared" si="37"/>
        <v>36.239762267159527</v>
      </c>
      <c r="E78" s="30">
        <f t="shared" si="37"/>
        <v>50.875050875050874</v>
      </c>
      <c r="F78" s="30">
        <f t="shared" si="37"/>
        <v>67.83340116673449</v>
      </c>
      <c r="G78" s="30">
        <f t="shared" si="37"/>
        <v>84.791751458418119</v>
      </c>
      <c r="H78" s="30">
        <f t="shared" si="37"/>
        <v>99.206349206349188</v>
      </c>
      <c r="I78" s="30">
        <f t="shared" si="37"/>
        <v>115.74074074074075</v>
      </c>
      <c r="J78" s="30">
        <f t="shared" si="37"/>
        <v>132.27513227513228</v>
      </c>
      <c r="K78" s="30">
        <f t="shared" si="37"/>
        <v>148.80952380952382</v>
      </c>
      <c r="L78" s="26"/>
      <c r="M78" s="26"/>
      <c r="N78" s="21"/>
      <c r="O78" s="21"/>
      <c r="P78" s="41"/>
      <c r="Q78" s="21"/>
      <c r="R78" s="21"/>
      <c r="S78" s="21"/>
      <c r="T78" s="21"/>
      <c r="U78" s="21"/>
      <c r="V78" s="21"/>
      <c r="W78" s="21"/>
      <c r="X78" s="21"/>
      <c r="Y78" s="4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</row>
    <row r="79" spans="1:45" s="12" customFormat="1">
      <c r="A79" s="29" t="str">
        <f t="shared" si="36"/>
        <v>Slodding</v>
      </c>
      <c r="B79" s="29"/>
      <c r="C79" s="30">
        <f t="shared" ref="C79:K79" si="38">IF($H$7=0,0,C76/$C$7/$E$7/IF(C76&lt;501,-0.0089*$E$7+0.8649,IF(C76&lt;1001,-0.0064*$E$7+0.8801,-0.0053*$E$7+0.8866)))/$D$14</f>
        <v>0</v>
      </c>
      <c r="D79" s="30">
        <f t="shared" si="38"/>
        <v>0</v>
      </c>
      <c r="E79" s="30">
        <f t="shared" si="38"/>
        <v>0</v>
      </c>
      <c r="F79" s="30">
        <f t="shared" si="38"/>
        <v>0</v>
      </c>
      <c r="G79" s="31">
        <f t="shared" si="38"/>
        <v>0</v>
      </c>
      <c r="H79" s="30">
        <f t="shared" si="38"/>
        <v>0</v>
      </c>
      <c r="I79" s="30">
        <f t="shared" si="38"/>
        <v>0</v>
      </c>
      <c r="J79" s="30">
        <f t="shared" si="38"/>
        <v>0</v>
      </c>
      <c r="K79" s="30">
        <f t="shared" si="38"/>
        <v>0</v>
      </c>
      <c r="L79" s="26"/>
      <c r="M79" s="26"/>
      <c r="N79" s="21"/>
      <c r="O79" s="21"/>
      <c r="P79" s="41"/>
      <c r="Q79" s="21"/>
      <c r="R79" s="21"/>
      <c r="S79" s="21"/>
      <c r="T79" s="21"/>
      <c r="U79" s="26"/>
      <c r="V79" s="26"/>
      <c r="W79" s="21"/>
      <c r="X79" s="21"/>
      <c r="Y79" s="4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</row>
    <row r="80" spans="1:45" s="12" customFormat="1">
      <c r="A80" s="29" t="str">
        <f t="shared" si="36"/>
        <v>Harving</v>
      </c>
      <c r="B80" s="29"/>
      <c r="C80" s="30">
        <f t="shared" ref="C80:K80" si="39">IF($H$8=0,0,C76/$C$8/$E$8/IF(C76&lt;501,-0.0089*$E$8+0.8649,IF(C76&lt;1001,-0.0064*$E$8+0.8801,-0.0053*$E$8+0.8866)))/$D$14</f>
        <v>4.6534104961861811</v>
      </c>
      <c r="D80" s="30">
        <f t="shared" si="39"/>
        <v>9.3068209923723622</v>
      </c>
      <c r="E80" s="30">
        <f t="shared" si="39"/>
        <v>13.413721767888289</v>
      </c>
      <c r="F80" s="30">
        <f t="shared" si="39"/>
        <v>17.884962357184381</v>
      </c>
      <c r="G80" s="31">
        <f t="shared" si="39"/>
        <v>22.356202946480479</v>
      </c>
      <c r="H80" s="30">
        <f t="shared" si="39"/>
        <v>26.379003632059064</v>
      </c>
      <c r="I80" s="30">
        <f t="shared" si="39"/>
        <v>30.775504237402242</v>
      </c>
      <c r="J80" s="30">
        <f t="shared" si="39"/>
        <v>35.172004842745416</v>
      </c>
      <c r="K80" s="30">
        <f t="shared" si="39"/>
        <v>39.568505448088594</v>
      </c>
      <c r="L80" s="26"/>
      <c r="M80" s="26"/>
      <c r="N80" s="21"/>
      <c r="O80" s="21"/>
      <c r="P80" s="41"/>
      <c r="Q80" s="21"/>
      <c r="R80" s="21"/>
      <c r="S80" s="21"/>
      <c r="T80" s="21"/>
      <c r="U80" s="26"/>
      <c r="V80" s="26"/>
      <c r="W80" s="21"/>
      <c r="X80" s="21"/>
      <c r="Y80" s="4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</row>
    <row r="81" spans="1:45" s="12" customFormat="1">
      <c r="A81" s="29" t="str">
        <f t="shared" si="36"/>
        <v>Såing</v>
      </c>
      <c r="B81" s="29"/>
      <c r="C81" s="30">
        <f t="shared" ref="C81:K81" si="40">IF($H$9=0,0,C76/$C$9/$E$9/IF(C76&lt;501,-0.0347*$E$9+0.5604,IF(C96&lt;1001,-0.0348*$E$9+0.5736,-0.0348*$E$9+0.579)))/$D$14</f>
        <v>17.526517621160817</v>
      </c>
      <c r="D81" s="30">
        <f t="shared" si="40"/>
        <v>35.053035242321634</v>
      </c>
      <c r="E81" s="30">
        <f t="shared" si="40"/>
        <v>50.763482781026639</v>
      </c>
      <c r="F81" s="30">
        <f t="shared" si="40"/>
        <v>67.684643708035523</v>
      </c>
      <c r="G81" s="31">
        <f t="shared" si="40"/>
        <v>84.605804635044393</v>
      </c>
      <c r="H81" s="30">
        <f t="shared" si="40"/>
        <v>100.04602116973808</v>
      </c>
      <c r="I81" s="30">
        <f t="shared" si="40"/>
        <v>116.72035803136112</v>
      </c>
      <c r="J81" s="30">
        <f t="shared" si="40"/>
        <v>133.39469489298415</v>
      </c>
      <c r="K81" s="30">
        <f t="shared" si="40"/>
        <v>150.06903175460712</v>
      </c>
      <c r="L81" s="26"/>
      <c r="M81" s="26"/>
      <c r="N81" s="21"/>
      <c r="O81" s="21"/>
      <c r="P81" s="41"/>
      <c r="Q81" s="21"/>
      <c r="R81" s="21"/>
      <c r="S81" s="21"/>
      <c r="T81" s="21"/>
      <c r="U81" s="26"/>
      <c r="V81" s="26"/>
      <c r="W81" s="21"/>
      <c r="X81" s="21"/>
      <c r="Y81" s="4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</row>
    <row r="82" spans="1:45" s="12" customFormat="1">
      <c r="A82" s="29" t="str">
        <f t="shared" si="36"/>
        <v>Tromling</v>
      </c>
      <c r="B82" s="29"/>
      <c r="C82" s="30">
        <f t="shared" ref="C82:K82" si="41">IF($H$10=0,0,C76/$C$10/$E$10/IF(C76&lt;501,-0.0099*$E$10+0.8474,IF(C76&lt;1001,-0.007*$E$10+0.8544,-0.0057*$E$10+0.8573)))/$D$14</f>
        <v>5.4269106388613482</v>
      </c>
      <c r="D82" s="30">
        <f t="shared" si="41"/>
        <v>10.853821277722696</v>
      </c>
      <c r="E82" s="30">
        <f t="shared" si="41"/>
        <v>15.599796578652612</v>
      </c>
      <c r="F82" s="30">
        <f t="shared" si="41"/>
        <v>20.79972877153682</v>
      </c>
      <c r="G82" s="31">
        <f t="shared" si="41"/>
        <v>25.999660964421022</v>
      </c>
      <c r="H82" s="30">
        <f t="shared" si="41"/>
        <v>30.634439236589774</v>
      </c>
      <c r="I82" s="30">
        <f t="shared" si="41"/>
        <v>35.740179109354742</v>
      </c>
      <c r="J82" s="30">
        <f t="shared" si="41"/>
        <v>40.845918982119706</v>
      </c>
      <c r="K82" s="30">
        <f t="shared" si="41"/>
        <v>45.951658854884663</v>
      </c>
      <c r="L82" s="26"/>
      <c r="M82" s="26"/>
      <c r="N82" s="21"/>
      <c r="O82" s="21"/>
      <c r="P82" s="41"/>
      <c r="Q82" s="21"/>
      <c r="R82" s="21"/>
      <c r="S82" s="21"/>
      <c r="T82" s="21"/>
      <c r="U82" s="26"/>
      <c r="V82" s="26"/>
      <c r="W82" s="21"/>
      <c r="X82" s="21"/>
      <c r="Y82" s="4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</row>
    <row r="83" spans="1:45" s="12" customFormat="1">
      <c r="A83" s="29" t="str">
        <f t="shared" si="36"/>
        <v>Annet kjøring for øvrig i året</v>
      </c>
      <c r="B83" s="29"/>
      <c r="C83" s="30">
        <f t="shared" ref="C83:K83" si="42">+C76*0.1++C78-C78*$D$19</f>
        <v>38.119881133579767</v>
      </c>
      <c r="D83" s="30">
        <f t="shared" si="42"/>
        <v>76.239762267159534</v>
      </c>
      <c r="E83" s="30">
        <f t="shared" si="42"/>
        <v>110.87505087505087</v>
      </c>
      <c r="F83" s="30">
        <f t="shared" si="42"/>
        <v>147.83340116673449</v>
      </c>
      <c r="G83" s="30">
        <f t="shared" si="42"/>
        <v>184.7917514584181</v>
      </c>
      <c r="H83" s="30">
        <f t="shared" si="42"/>
        <v>219.20634920634919</v>
      </c>
      <c r="I83" s="30">
        <f t="shared" si="42"/>
        <v>255.74074074074076</v>
      </c>
      <c r="J83" s="30">
        <f t="shared" si="42"/>
        <v>292.27513227513225</v>
      </c>
      <c r="K83" s="30">
        <f t="shared" si="42"/>
        <v>328.80952380952385</v>
      </c>
      <c r="L83" s="26"/>
      <c r="M83" s="26"/>
      <c r="N83" s="21"/>
      <c r="O83" s="21"/>
      <c r="P83" s="21"/>
      <c r="Q83" s="21"/>
      <c r="R83" s="21"/>
      <c r="S83" s="21"/>
      <c r="T83" s="21"/>
      <c r="U83" s="26"/>
      <c r="V83" s="26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</row>
    <row r="84" spans="1:45" s="12" customFormat="1">
      <c r="A84" s="29" t="str">
        <f t="shared" si="36"/>
        <v>Sum våronnkjøring inkludert 2 timer diverse per 100 dekar</v>
      </c>
      <c r="B84" s="29"/>
      <c r="C84" s="30">
        <f t="shared" ref="C84:K84" si="43">SUM(C79:C82)+C78*$D$19+0.02*C76</f>
        <v>31.606838756208344</v>
      </c>
      <c r="D84" s="30">
        <f t="shared" si="43"/>
        <v>63.213677512416687</v>
      </c>
      <c r="E84" s="30">
        <f t="shared" si="43"/>
        <v>91.777001127567544</v>
      </c>
      <c r="F84" s="30">
        <f t="shared" si="43"/>
        <v>122.36933483675672</v>
      </c>
      <c r="G84" s="30">
        <f t="shared" si="43"/>
        <v>152.96166854594588</v>
      </c>
      <c r="H84" s="30">
        <f t="shared" si="43"/>
        <v>181.05946403838692</v>
      </c>
      <c r="I84" s="30">
        <f t="shared" si="43"/>
        <v>211.2360413781181</v>
      </c>
      <c r="J84" s="30">
        <f t="shared" si="43"/>
        <v>241.41261871784928</v>
      </c>
      <c r="K84" s="30">
        <f t="shared" si="43"/>
        <v>271.58919605758035</v>
      </c>
      <c r="L84" s="26"/>
      <c r="M84" s="26"/>
      <c r="N84" s="21"/>
      <c r="O84" s="21"/>
      <c r="P84" s="21"/>
      <c r="Q84" s="21"/>
      <c r="R84" s="21"/>
      <c r="S84" s="21"/>
      <c r="T84" s="21"/>
      <c r="U84" s="26"/>
      <c r="V84" s="26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</row>
    <row r="85" spans="1:45" s="12" customFormat="1">
      <c r="A85" s="29" t="str">
        <f t="shared" si="36"/>
        <v>Sum kjøring traktor i året</v>
      </c>
      <c r="B85" s="29"/>
      <c r="C85" s="31">
        <f t="shared" ref="C85:K85" si="44">+C84+C83+C78+$D$20</f>
        <v>137.8466010233679</v>
      </c>
      <c r="D85" s="31">
        <f t="shared" si="44"/>
        <v>225.69320204673576</v>
      </c>
      <c r="E85" s="31">
        <f t="shared" si="44"/>
        <v>303.52710287766928</v>
      </c>
      <c r="F85" s="31">
        <f t="shared" si="44"/>
        <v>388.03613717022574</v>
      </c>
      <c r="G85" s="31">
        <f t="shared" si="44"/>
        <v>472.54517146278209</v>
      </c>
      <c r="H85" s="31">
        <f t="shared" si="44"/>
        <v>549.4721624510853</v>
      </c>
      <c r="I85" s="31">
        <f t="shared" si="44"/>
        <v>632.71752285959963</v>
      </c>
      <c r="J85" s="31">
        <f t="shared" si="44"/>
        <v>715.96288326811384</v>
      </c>
      <c r="K85" s="31">
        <f t="shared" si="44"/>
        <v>799.20824367662806</v>
      </c>
      <c r="L85" s="26"/>
      <c r="M85" s="26"/>
      <c r="N85" s="21"/>
      <c r="O85" s="21"/>
      <c r="P85" s="21"/>
      <c r="Q85" s="21"/>
      <c r="R85" s="21"/>
      <c r="S85" s="21"/>
      <c r="T85" s="21"/>
      <c r="U85" s="26"/>
      <c r="V85" s="26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</row>
    <row r="86" spans="1:45" s="12" customFormat="1">
      <c r="A86" s="29" t="str">
        <f t="shared" si="36"/>
        <v>Dager våronn</v>
      </c>
      <c r="B86" s="29"/>
      <c r="C86" s="31">
        <f t="shared" ref="C86:K86" si="45">+C84/$D$18</f>
        <v>3.950854844526043</v>
      </c>
      <c r="D86" s="31">
        <f t="shared" si="45"/>
        <v>7.9017096890520859</v>
      </c>
      <c r="E86" s="31">
        <f t="shared" si="45"/>
        <v>11.472125140945943</v>
      </c>
      <c r="F86" s="31">
        <f t="shared" si="45"/>
        <v>15.29616685459459</v>
      </c>
      <c r="G86" s="31">
        <f t="shared" si="45"/>
        <v>19.120208568243235</v>
      </c>
      <c r="H86" s="31">
        <f t="shared" si="45"/>
        <v>22.632433004798365</v>
      </c>
      <c r="I86" s="31">
        <f t="shared" si="45"/>
        <v>26.404505172264763</v>
      </c>
      <c r="J86" s="31">
        <f t="shared" si="45"/>
        <v>30.176577339731161</v>
      </c>
      <c r="K86" s="31">
        <f t="shared" si="45"/>
        <v>33.948649507197544</v>
      </c>
      <c r="L86" s="26"/>
      <c r="M86" s="26"/>
      <c r="N86" s="21"/>
      <c r="O86" s="21"/>
      <c r="P86" s="21"/>
      <c r="Q86" s="21"/>
      <c r="R86" s="21"/>
      <c r="S86" s="21"/>
      <c r="T86" s="21"/>
      <c r="U86" s="26"/>
      <c r="V86" s="26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</row>
    <row r="87" spans="1:45" s="12" customFormat="1">
      <c r="A87" s="29" t="str">
        <f t="shared" si="36"/>
        <v>Kapasitet daa per. Dag</v>
      </c>
      <c r="B87" s="29"/>
      <c r="C87" s="31">
        <f t="shared" ref="C87:K87" si="46">+C76/C86</f>
        <v>50.621955974186804</v>
      </c>
      <c r="D87" s="31">
        <f t="shared" si="46"/>
        <v>50.621955974186804</v>
      </c>
      <c r="E87" s="31">
        <f t="shared" si="46"/>
        <v>52.300684714334153</v>
      </c>
      <c r="F87" s="31">
        <f t="shared" si="46"/>
        <v>52.300684714334153</v>
      </c>
      <c r="G87" s="31">
        <f t="shared" si="46"/>
        <v>52.30068471433416</v>
      </c>
      <c r="H87" s="31">
        <f t="shared" si="46"/>
        <v>53.021254928517173</v>
      </c>
      <c r="I87" s="31">
        <f t="shared" si="46"/>
        <v>53.021254928517166</v>
      </c>
      <c r="J87" s="31">
        <f t="shared" si="46"/>
        <v>53.021254928517159</v>
      </c>
      <c r="K87" s="31">
        <f t="shared" si="46"/>
        <v>53.021254928517173</v>
      </c>
      <c r="L87" s="26"/>
      <c r="M87" s="26"/>
      <c r="N87" s="21"/>
      <c r="O87" s="21"/>
      <c r="P87" s="21"/>
      <c r="Q87" s="21"/>
      <c r="R87" s="21"/>
      <c r="S87" s="21"/>
      <c r="T87" s="21"/>
      <c r="U87" s="26"/>
      <c r="V87" s="26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</row>
    <row r="88" spans="1:45" s="12" customFormat="1">
      <c r="A88" s="29" t="str">
        <f t="shared" si="36"/>
        <v>Levetid traktor</v>
      </c>
      <c r="B88" s="29"/>
      <c r="C88" s="31">
        <f t="shared" ref="C88:K88" si="47">IF(6000/C85&gt;12,12,6000/C85)</f>
        <v>12</v>
      </c>
      <c r="D88" s="31">
        <f t="shared" si="47"/>
        <v>12</v>
      </c>
      <c r="E88" s="31">
        <f t="shared" si="47"/>
        <v>12</v>
      </c>
      <c r="F88" s="31">
        <f t="shared" si="47"/>
        <v>12</v>
      </c>
      <c r="G88" s="31">
        <f t="shared" si="47"/>
        <v>12</v>
      </c>
      <c r="H88" s="31">
        <f t="shared" si="47"/>
        <v>10.91957047147794</v>
      </c>
      <c r="I88" s="31">
        <f t="shared" si="47"/>
        <v>9.4829047453636015</v>
      </c>
      <c r="J88" s="31">
        <f t="shared" si="47"/>
        <v>8.3803226957969539</v>
      </c>
      <c r="K88" s="31">
        <f t="shared" si="47"/>
        <v>7.5074300690367908</v>
      </c>
      <c r="L88" s="26"/>
      <c r="M88" s="26"/>
      <c r="N88" s="21"/>
      <c r="O88" s="21"/>
      <c r="P88" s="21"/>
      <c r="Q88" s="21"/>
      <c r="R88" s="21"/>
      <c r="S88" s="21"/>
      <c r="T88" s="21"/>
      <c r="U88" s="26"/>
      <c r="V88" s="26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</row>
    <row r="89" spans="1:45" s="12" customFormat="1">
      <c r="A89" s="37" t="s">
        <v>74</v>
      </c>
      <c r="B89" s="37"/>
      <c r="C89" s="30">
        <f t="shared" ref="C89:K89" si="48">AVERAGE(C78:C82)</f>
        <v>9.1453439779576211</v>
      </c>
      <c r="D89" s="30">
        <f t="shared" si="48"/>
        <v>18.290687955915242</v>
      </c>
      <c r="E89" s="30">
        <f t="shared" si="48"/>
        <v>26.130410400523679</v>
      </c>
      <c r="F89" s="30">
        <f t="shared" si="48"/>
        <v>34.840547200698246</v>
      </c>
      <c r="G89" s="31">
        <f t="shared" si="48"/>
        <v>43.550684000872806</v>
      </c>
      <c r="H89" s="30">
        <f t="shared" si="48"/>
        <v>51.253162648947225</v>
      </c>
      <c r="I89" s="30">
        <f t="shared" si="48"/>
        <v>59.795356423771771</v>
      </c>
      <c r="J89" s="30">
        <f t="shared" si="48"/>
        <v>68.337550198596304</v>
      </c>
      <c r="K89" s="30">
        <f t="shared" si="48"/>
        <v>76.879743973420844</v>
      </c>
      <c r="L89" s="26"/>
      <c r="M89" s="26"/>
      <c r="N89" s="21"/>
      <c r="O89" s="21"/>
      <c r="P89" s="21"/>
      <c r="Q89" s="21"/>
      <c r="R89" s="21"/>
      <c r="S89" s="21"/>
      <c r="T89" s="21"/>
      <c r="U89" s="26"/>
      <c r="V89" s="26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</row>
    <row r="90" spans="1:45" s="12" customFormat="1">
      <c r="A90" s="29" t="str">
        <f>+A70</f>
        <v>Levetid redskaper</v>
      </c>
      <c r="B90" s="29"/>
      <c r="C90" s="30">
        <v>15</v>
      </c>
      <c r="D90" s="30">
        <v>15</v>
      </c>
      <c r="E90" s="30">
        <v>15</v>
      </c>
      <c r="F90" s="30">
        <v>15</v>
      </c>
      <c r="G90" s="30">
        <v>15</v>
      </c>
      <c r="H90" s="30">
        <v>15</v>
      </c>
      <c r="I90" s="30">
        <v>15</v>
      </c>
      <c r="J90" s="30">
        <v>15</v>
      </c>
      <c r="K90" s="30">
        <v>15</v>
      </c>
      <c r="L90" s="75"/>
      <c r="M90" s="75"/>
      <c r="N90" s="76"/>
      <c r="O90" s="21"/>
      <c r="P90" s="21"/>
      <c r="Q90" s="21"/>
      <c r="R90" s="21"/>
      <c r="S90" s="21"/>
      <c r="T90" s="21"/>
      <c r="U90" s="26"/>
      <c r="V90" s="26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</row>
    <row r="91" spans="1:45" s="12" customFormat="1">
      <c r="A91" s="38" t="s">
        <v>43</v>
      </c>
      <c r="B91" s="38"/>
      <c r="C91" s="39">
        <f t="shared" ref="C91:K91" si="49">100-($N$7+$N$8*$D$22+$N$9*C87+$N$10*C76+$N$11*$D$22*C76+$N$12*C87^2+$N$13*C87*C76+$N$14*C76^2+$N$15*$D$22*C87*C76)</f>
        <v>12.892142385738751</v>
      </c>
      <c r="D91" s="39">
        <f t="shared" si="49"/>
        <v>15.267252009656346</v>
      </c>
      <c r="E91" s="39">
        <f t="shared" si="49"/>
        <v>17.482572028390692</v>
      </c>
      <c r="F91" s="39">
        <f t="shared" si="49"/>
        <v>19.971012993332209</v>
      </c>
      <c r="G91" s="39">
        <f t="shared" si="49"/>
        <v>22.539453958273711</v>
      </c>
      <c r="H91" s="39">
        <f t="shared" si="49"/>
        <v>25.026683241357233</v>
      </c>
      <c r="I91" s="39">
        <f t="shared" si="49"/>
        <v>27.735092354344474</v>
      </c>
      <c r="J91" s="39">
        <f t="shared" si="49"/>
        <v>30.523501467331684</v>
      </c>
      <c r="K91" s="39">
        <f t="shared" si="49"/>
        <v>33.391910580318907</v>
      </c>
      <c r="L91" s="21"/>
      <c r="M91" s="21"/>
      <c r="N91" s="21"/>
      <c r="O91" s="21"/>
      <c r="P91" s="21"/>
      <c r="Q91" s="21"/>
      <c r="R91" s="21"/>
      <c r="S91" s="21"/>
      <c r="T91" s="21"/>
      <c r="U91" s="26"/>
      <c r="V91" s="26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</row>
    <row r="92" spans="1:45" s="77" customFormat="1" ht="14.4" customHeight="1">
      <c r="A92" s="40"/>
      <c r="B92" s="40"/>
      <c r="C92" s="31"/>
      <c r="D92" s="31"/>
      <c r="E92" s="31"/>
      <c r="F92" s="31"/>
      <c r="G92" s="31"/>
      <c r="H92" s="31"/>
      <c r="I92" s="31"/>
      <c r="J92" s="31"/>
      <c r="K92" s="31"/>
      <c r="L92" s="21"/>
      <c r="M92" s="21"/>
      <c r="N92" s="21"/>
      <c r="P92" s="78"/>
      <c r="U92" s="75"/>
      <c r="V92" s="75"/>
      <c r="W92" s="76"/>
      <c r="Y92" s="78"/>
    </row>
    <row r="93" spans="1:45" s="12" customFormat="1">
      <c r="A93" s="29"/>
      <c r="B93" s="29"/>
      <c r="C93" s="42"/>
      <c r="D93" s="42"/>
      <c r="E93" s="42"/>
      <c r="F93" s="42"/>
      <c r="G93" s="42"/>
      <c r="H93" s="42"/>
      <c r="I93" s="42"/>
      <c r="J93" s="42"/>
      <c r="K93" s="42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</row>
    <row r="94" spans="1:45" s="12" customFormat="1">
      <c r="A94" s="29"/>
      <c r="B94" s="29"/>
      <c r="C94" s="42"/>
      <c r="D94" s="42"/>
      <c r="E94" s="42"/>
      <c r="F94" s="42"/>
      <c r="G94" s="42"/>
      <c r="H94" s="42"/>
      <c r="I94" s="42"/>
      <c r="J94" s="42"/>
      <c r="K94" s="42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</row>
    <row r="95" spans="1:45" s="12" customFormat="1">
      <c r="A95" s="29" t="s">
        <v>11</v>
      </c>
      <c r="B95" s="29"/>
      <c r="C95" s="42" t="s">
        <v>3</v>
      </c>
      <c r="D95" s="42" t="s">
        <v>3</v>
      </c>
      <c r="E95" s="42" t="s">
        <v>3</v>
      </c>
      <c r="F95" s="42" t="s">
        <v>3</v>
      </c>
      <c r="G95" s="42" t="s">
        <v>3</v>
      </c>
      <c r="H95" s="42" t="s">
        <v>3</v>
      </c>
      <c r="I95" s="42" t="s">
        <v>3</v>
      </c>
      <c r="J95" s="42" t="s">
        <v>3</v>
      </c>
      <c r="K95" s="42" t="s">
        <v>3</v>
      </c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</row>
    <row r="96" spans="1:45" s="12" customFormat="1">
      <c r="A96" s="29" t="s">
        <v>4</v>
      </c>
      <c r="B96" s="29"/>
      <c r="C96" s="31">
        <v>200</v>
      </c>
      <c r="D96" s="31">
        <v>400</v>
      </c>
      <c r="E96" s="31">
        <v>600</v>
      </c>
      <c r="F96" s="31">
        <v>800</v>
      </c>
      <c r="G96" s="31">
        <v>1000</v>
      </c>
      <c r="H96" s="31">
        <v>1200</v>
      </c>
      <c r="I96" s="31">
        <v>1400</v>
      </c>
      <c r="J96" s="31">
        <v>1600</v>
      </c>
      <c r="K96" s="31">
        <v>1800</v>
      </c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</row>
    <row r="97" spans="1:45" s="12" customFormat="1">
      <c r="A97" s="43"/>
      <c r="B97" s="43"/>
      <c r="C97" s="34"/>
      <c r="D97" s="34"/>
      <c r="E97" s="34"/>
      <c r="F97" s="34"/>
      <c r="G97" s="34"/>
      <c r="H97" s="34"/>
      <c r="I97" s="34"/>
      <c r="J97" s="34"/>
      <c r="K97" s="34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</row>
    <row r="98" spans="1:45" s="12" customFormat="1">
      <c r="A98" s="29" t="str">
        <f t="shared" ref="A98:A108" si="50">+A58</f>
        <v>Pløying</v>
      </c>
      <c r="B98" s="79"/>
      <c r="C98" s="30">
        <f t="shared" ref="C98:K98" si="51">C96/$C$6/$F$6/IF(C96&lt;501,0.73,IF(C96&lt;1001,0.78,0.8))/$D$14</f>
        <v>12.079920755719842</v>
      </c>
      <c r="D98" s="30">
        <f t="shared" si="51"/>
        <v>24.159841511439684</v>
      </c>
      <c r="E98" s="30">
        <f t="shared" si="51"/>
        <v>33.916700583367245</v>
      </c>
      <c r="F98" s="30">
        <f t="shared" si="51"/>
        <v>45.222267444489667</v>
      </c>
      <c r="G98" s="30">
        <f t="shared" si="51"/>
        <v>56.527834305612082</v>
      </c>
      <c r="H98" s="30">
        <f t="shared" si="51"/>
        <v>66.137566137566125</v>
      </c>
      <c r="I98" s="30">
        <f t="shared" si="51"/>
        <v>77.160493827160494</v>
      </c>
      <c r="J98" s="30">
        <f t="shared" si="51"/>
        <v>88.183421516754848</v>
      </c>
      <c r="K98" s="30">
        <f t="shared" si="51"/>
        <v>99.206349206349188</v>
      </c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</row>
    <row r="99" spans="1:45" s="12" customFormat="1">
      <c r="A99" s="29" t="str">
        <f t="shared" si="50"/>
        <v>Slodding</v>
      </c>
      <c r="B99" s="79"/>
      <c r="C99" s="30">
        <f t="shared" ref="C99:K99" si="52">IF($I$7=0,0,C96/$C$7/$F$7/IF(C96&lt;501,-0.0089*$F$7+0.8649,IF(C96&lt;1001,-0.0064*$F$7+0.8801,-0.0053*$F$7+0.8866)))/$D$14</f>
        <v>0</v>
      </c>
      <c r="D99" s="30">
        <f>IF($I$7=0,0,D96/$C$7/$F$7/IF(D96&lt;501,-0.0089*$F$7+0.8649,IF(D96&lt;1001,-0.0064*$F$7+0.8801,-0.0053*$F$7+0.8866)))/$D$14</f>
        <v>0</v>
      </c>
      <c r="E99" s="30">
        <f t="shared" si="52"/>
        <v>0</v>
      </c>
      <c r="F99" s="30">
        <f t="shared" si="52"/>
        <v>0</v>
      </c>
      <c r="G99" s="31">
        <f t="shared" si="52"/>
        <v>0</v>
      </c>
      <c r="H99" s="30">
        <f t="shared" si="52"/>
        <v>0</v>
      </c>
      <c r="I99" s="30">
        <f t="shared" si="52"/>
        <v>0</v>
      </c>
      <c r="J99" s="30">
        <f t="shared" si="52"/>
        <v>0</v>
      </c>
      <c r="K99" s="30">
        <f t="shared" si="52"/>
        <v>0</v>
      </c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</row>
    <row r="100" spans="1:45" s="12" customFormat="1">
      <c r="A100" s="29" t="str">
        <f t="shared" si="50"/>
        <v>Harving</v>
      </c>
      <c r="B100" s="79"/>
      <c r="C100" s="30">
        <f t="shared" ref="C100:K100" si="53">IF($I$8=0,0,C96/$C$8/$F$8/IF(C96&lt;501,-0.0089*$F$8+0.8649,IF(C96&lt;1001,-0.0064*$F$8+0.8801,-0.0053*$F$8+0.8866)))/$D$14</f>
        <v>3.7014088302289623</v>
      </c>
      <c r="D100" s="30">
        <f t="shared" si="53"/>
        <v>7.4028176604579246</v>
      </c>
      <c r="E100" s="30">
        <f t="shared" si="53"/>
        <v>10.595254650323488</v>
      </c>
      <c r="F100" s="30">
        <f t="shared" si="53"/>
        <v>14.127006200431314</v>
      </c>
      <c r="G100" s="30">
        <f t="shared" si="53"/>
        <v>17.658757750539145</v>
      </c>
      <c r="H100" s="30">
        <f t="shared" si="53"/>
        <v>20.776247347457545</v>
      </c>
      <c r="I100" s="30">
        <f t="shared" si="53"/>
        <v>24.23895523870047</v>
      </c>
      <c r="J100" s="30">
        <f t="shared" si="53"/>
        <v>27.701663129943391</v>
      </c>
      <c r="K100" s="30">
        <f t="shared" si="53"/>
        <v>31.164371021186312</v>
      </c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</row>
    <row r="101" spans="1:45" s="12" customFormat="1">
      <c r="A101" s="29" t="str">
        <f t="shared" si="50"/>
        <v>Såing</v>
      </c>
      <c r="B101" s="79"/>
      <c r="C101" s="30">
        <f t="shared" ref="C101:K101" si="54">IF($I$9=0,0,C96/$C$9/$F$9/IF(C96&lt;501,-0.0347*$F$9+0.5604,IF(C96&lt;1001,-0.0348*$F$9+0.5736,-0.0348*$F$9+0.579)))/$D$14</f>
        <v>16.586966293625796</v>
      </c>
      <c r="D101" s="30">
        <f t="shared" si="54"/>
        <v>33.173932587251592</v>
      </c>
      <c r="E101" s="30">
        <f t="shared" si="54"/>
        <v>47.410441675674647</v>
      </c>
      <c r="F101" s="30">
        <f t="shared" si="54"/>
        <v>63.213922234232875</v>
      </c>
      <c r="G101" s="31">
        <f t="shared" si="54"/>
        <v>79.017402792791088</v>
      </c>
      <c r="H101" s="30">
        <f t="shared" si="54"/>
        <v>92.894499716671788</v>
      </c>
      <c r="I101" s="30">
        <f t="shared" si="54"/>
        <v>108.37691633611709</v>
      </c>
      <c r="J101" s="30">
        <f t="shared" si="54"/>
        <v>123.85933295556239</v>
      </c>
      <c r="K101" s="30">
        <f t="shared" si="54"/>
        <v>139.34174957500767</v>
      </c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</row>
    <row r="102" spans="1:45" s="12" customFormat="1">
      <c r="A102" s="29" t="str">
        <f t="shared" si="50"/>
        <v>Tromling</v>
      </c>
      <c r="B102" s="79"/>
      <c r="C102" s="30">
        <f t="shared" ref="C102:K102" si="55">IF($I$10=0,0,C96/$C$10/$F$10/IF(C96&lt;501,-0.0099*$F$10+0.8474,IF(C96&lt;1001,-0.007*$F$10+0.8544,-0.0057*$F$10+0.8573)))/$D$14</f>
        <v>4.7445515645573932</v>
      </c>
      <c r="D102" s="30">
        <f t="shared" si="55"/>
        <v>9.4891031291147865</v>
      </c>
      <c r="E102" s="30">
        <f t="shared" si="55"/>
        <v>13.55104441287051</v>
      </c>
      <c r="F102" s="30">
        <f t="shared" si="55"/>
        <v>18.068059217160684</v>
      </c>
      <c r="G102" s="31">
        <f t="shared" si="55"/>
        <v>22.585074021450851</v>
      </c>
      <c r="H102" s="30">
        <f t="shared" si="55"/>
        <v>26.539621498553089</v>
      </c>
      <c r="I102" s="30">
        <f t="shared" si="55"/>
        <v>30.962891748311939</v>
      </c>
      <c r="J102" s="30">
        <f t="shared" si="55"/>
        <v>35.38616199807079</v>
      </c>
      <c r="K102" s="30">
        <f t="shared" si="55"/>
        <v>39.809432247829641</v>
      </c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</row>
    <row r="103" spans="1:45" s="12" customFormat="1">
      <c r="A103" s="29" t="str">
        <f t="shared" si="50"/>
        <v>Annet kjøring for øvrig i året</v>
      </c>
      <c r="B103" s="79"/>
      <c r="C103" s="30">
        <f t="shared" ref="C103:K103" si="56">+C96*0.1++C98-C98*$D$19</f>
        <v>32.07992075571984</v>
      </c>
      <c r="D103" s="30">
        <f t="shared" si="56"/>
        <v>64.15984151143968</v>
      </c>
      <c r="E103" s="30">
        <f t="shared" si="56"/>
        <v>93.916700583367245</v>
      </c>
      <c r="F103" s="30">
        <f t="shared" si="56"/>
        <v>125.22226744448966</v>
      </c>
      <c r="G103" s="30">
        <f t="shared" si="56"/>
        <v>156.52783430561209</v>
      </c>
      <c r="H103" s="30">
        <f t="shared" si="56"/>
        <v>186.13756613756613</v>
      </c>
      <c r="I103" s="30">
        <f t="shared" si="56"/>
        <v>217.16049382716051</v>
      </c>
      <c r="J103" s="30">
        <f t="shared" si="56"/>
        <v>248.18342151675483</v>
      </c>
      <c r="K103" s="30">
        <f t="shared" si="56"/>
        <v>279.20634920634916</v>
      </c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</row>
    <row r="104" spans="1:45" s="12" customFormat="1">
      <c r="A104" s="29" t="str">
        <f t="shared" si="50"/>
        <v>Sum våronnkjøring inkludert 2 timer diverse per 100 dekar</v>
      </c>
      <c r="B104" s="79"/>
      <c r="C104" s="31">
        <f t="shared" ref="C104:K104" si="57">SUM(C99:C102)+C98*$D$19+0.02*C96</f>
        <v>29.032926688412154</v>
      </c>
      <c r="D104" s="31">
        <f t="shared" si="57"/>
        <v>58.065853376824307</v>
      </c>
      <c r="E104" s="31">
        <f t="shared" si="57"/>
        <v>83.556740738868655</v>
      </c>
      <c r="F104" s="31">
        <f t="shared" si="57"/>
        <v>111.40898765182487</v>
      </c>
      <c r="G104" s="31">
        <f t="shared" si="57"/>
        <v>139.26123456478109</v>
      </c>
      <c r="H104" s="31">
        <f t="shared" si="57"/>
        <v>164.21036856268242</v>
      </c>
      <c r="I104" s="31">
        <f t="shared" si="57"/>
        <v>191.57876332312949</v>
      </c>
      <c r="J104" s="31">
        <f t="shared" si="57"/>
        <v>218.9471580835766</v>
      </c>
      <c r="K104" s="31">
        <f t="shared" si="57"/>
        <v>246.31555284402361</v>
      </c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</row>
    <row r="105" spans="1:45" s="12" customFormat="1">
      <c r="A105" s="29" t="str">
        <f t="shared" si="50"/>
        <v>Sum kjøring traktor i året</v>
      </c>
      <c r="B105" s="79"/>
      <c r="C105" s="31">
        <f t="shared" ref="C105:K105" si="58">+C104+C103+C98+$D$20</f>
        <v>123.19276819985184</v>
      </c>
      <c r="D105" s="31">
        <f t="shared" si="58"/>
        <v>196.38553639970368</v>
      </c>
      <c r="E105" s="31">
        <f t="shared" si="58"/>
        <v>261.39014190560312</v>
      </c>
      <c r="F105" s="31">
        <f t="shared" si="58"/>
        <v>331.85352254080419</v>
      </c>
      <c r="G105" s="31">
        <f t="shared" si="58"/>
        <v>402.31690317600527</v>
      </c>
      <c r="H105" s="31">
        <f t="shared" si="58"/>
        <v>466.48550083781464</v>
      </c>
      <c r="I105" s="31">
        <f t="shared" si="58"/>
        <v>535.89975097745048</v>
      </c>
      <c r="J105" s="31">
        <f t="shared" si="58"/>
        <v>605.31400111708626</v>
      </c>
      <c r="K105" s="31">
        <f t="shared" si="58"/>
        <v>674.72825125672193</v>
      </c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</row>
    <row r="106" spans="1:45" s="12" customFormat="1">
      <c r="A106" s="29" t="str">
        <f t="shared" si="50"/>
        <v>Dager våronn</v>
      </c>
      <c r="B106" s="79"/>
      <c r="C106" s="31">
        <f t="shared" ref="C106:K106" si="59">+C104/$D$18</f>
        <v>3.6291158360515192</v>
      </c>
      <c r="D106" s="31">
        <f t="shared" si="59"/>
        <v>7.2582316721030384</v>
      </c>
      <c r="E106" s="31">
        <f t="shared" si="59"/>
        <v>10.444592592358582</v>
      </c>
      <c r="F106" s="31">
        <f t="shared" si="59"/>
        <v>13.926123456478109</v>
      </c>
      <c r="G106" s="31">
        <f t="shared" si="59"/>
        <v>17.407654320597636</v>
      </c>
      <c r="H106" s="31">
        <f t="shared" si="59"/>
        <v>20.526296070335302</v>
      </c>
      <c r="I106" s="31">
        <f t="shared" si="59"/>
        <v>23.947345415391187</v>
      </c>
      <c r="J106" s="31">
        <f t="shared" si="59"/>
        <v>27.368394760447075</v>
      </c>
      <c r="K106" s="31">
        <f t="shared" si="59"/>
        <v>30.789444105502952</v>
      </c>
      <c r="L106" s="21"/>
      <c r="M106" s="21"/>
      <c r="N106" s="21"/>
      <c r="O106" s="21"/>
      <c r="P106" s="41"/>
      <c r="Q106" s="21"/>
      <c r="R106" s="21"/>
      <c r="S106" s="21"/>
      <c r="T106" s="21"/>
      <c r="U106" s="21"/>
      <c r="V106" s="21"/>
      <c r="W106" s="21"/>
      <c r="X106" s="21"/>
      <c r="Y106" s="4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</row>
    <row r="107" spans="1:45" s="12" customFormat="1">
      <c r="A107" s="29" t="str">
        <f t="shared" si="50"/>
        <v>Kapasitet daa per. Dag</v>
      </c>
      <c r="B107" s="29"/>
      <c r="C107" s="31">
        <f t="shared" ref="C107:K107" si="60">+C96/C106</f>
        <v>55.109841910585075</v>
      </c>
      <c r="D107" s="31">
        <f t="shared" si="60"/>
        <v>55.109841910585075</v>
      </c>
      <c r="E107" s="31">
        <f t="shared" si="60"/>
        <v>57.445993675135675</v>
      </c>
      <c r="F107" s="31">
        <f t="shared" si="60"/>
        <v>57.445993675135675</v>
      </c>
      <c r="G107" s="31">
        <f t="shared" si="60"/>
        <v>57.445993675135675</v>
      </c>
      <c r="H107" s="31">
        <f t="shared" si="60"/>
        <v>58.461594624187725</v>
      </c>
      <c r="I107" s="31">
        <f t="shared" si="60"/>
        <v>58.461594624187725</v>
      </c>
      <c r="J107" s="31">
        <f t="shared" si="60"/>
        <v>58.461594624187718</v>
      </c>
      <c r="K107" s="31">
        <f t="shared" si="60"/>
        <v>58.461594624187732</v>
      </c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</row>
    <row r="108" spans="1:45" s="12" customFormat="1">
      <c r="A108" s="29" t="str">
        <f t="shared" si="50"/>
        <v>Levetid traktor</v>
      </c>
      <c r="B108" s="29"/>
      <c r="C108" s="31">
        <f t="shared" ref="C108:K108" si="61">IF(6000/C105&gt;12,12,6000/C105)</f>
        <v>12</v>
      </c>
      <c r="D108" s="31">
        <f t="shared" si="61"/>
        <v>12</v>
      </c>
      <c r="E108" s="31">
        <f t="shared" si="61"/>
        <v>12</v>
      </c>
      <c r="F108" s="31">
        <f t="shared" si="61"/>
        <v>12</v>
      </c>
      <c r="G108" s="31">
        <f t="shared" si="61"/>
        <v>12</v>
      </c>
      <c r="H108" s="31">
        <f t="shared" si="61"/>
        <v>12</v>
      </c>
      <c r="I108" s="31">
        <f t="shared" si="61"/>
        <v>11.196123881484072</v>
      </c>
      <c r="J108" s="31">
        <f t="shared" si="61"/>
        <v>9.9122108342566104</v>
      </c>
      <c r="K108" s="31">
        <f t="shared" si="61"/>
        <v>8.8924689144476154</v>
      </c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</row>
    <row r="109" spans="1:45" s="12" customFormat="1">
      <c r="A109" s="37" t="s">
        <v>74</v>
      </c>
      <c r="B109" s="37"/>
      <c r="C109" s="30">
        <f t="shared" ref="C109:K109" si="62">AVERAGE(C98:C102)</f>
        <v>7.4225694888263991</v>
      </c>
      <c r="D109" s="30">
        <f t="shared" si="62"/>
        <v>14.845138977652798</v>
      </c>
      <c r="E109" s="30">
        <f t="shared" si="62"/>
        <v>21.094688264447178</v>
      </c>
      <c r="F109" s="30">
        <f t="shared" si="62"/>
        <v>28.126251019262906</v>
      </c>
      <c r="G109" s="31">
        <f t="shared" si="62"/>
        <v>35.157813774078633</v>
      </c>
      <c r="H109" s="30">
        <f t="shared" si="62"/>
        <v>41.269586940049706</v>
      </c>
      <c r="I109" s="30">
        <f t="shared" si="62"/>
        <v>48.147851430057997</v>
      </c>
      <c r="J109" s="30">
        <f t="shared" si="62"/>
        <v>55.026115920066289</v>
      </c>
      <c r="K109" s="30">
        <f t="shared" si="62"/>
        <v>61.904380410074566</v>
      </c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</row>
    <row r="110" spans="1:45" s="12" customFormat="1">
      <c r="A110" s="29" t="str">
        <f>+A70</f>
        <v>Levetid redskaper</v>
      </c>
      <c r="B110" s="29"/>
      <c r="C110" s="30">
        <v>15</v>
      </c>
      <c r="D110" s="30">
        <v>15</v>
      </c>
      <c r="E110" s="30">
        <v>15</v>
      </c>
      <c r="F110" s="30">
        <v>15</v>
      </c>
      <c r="G110" s="30">
        <v>15</v>
      </c>
      <c r="H110" s="30">
        <v>15</v>
      </c>
      <c r="I110" s="30">
        <v>15</v>
      </c>
      <c r="J110" s="30">
        <v>15</v>
      </c>
      <c r="K110" s="30">
        <v>15</v>
      </c>
      <c r="L110" s="75"/>
      <c r="M110" s="75"/>
      <c r="N110" s="76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</row>
    <row r="111" spans="1:45" s="12" customFormat="1">
      <c r="A111" s="38" t="s">
        <v>43</v>
      </c>
      <c r="B111" s="38"/>
      <c r="C111" s="39">
        <f t="shared" ref="C111:K111" si="63">100-($N$7+$N$8*$D$22+$N$9*C107+$N$10*C96+$N$11*$D$22*C96+$N$12*C107^2+$N$13*C107*C96+$N$14*C96^2+$N$15*$D$22*C107*C96)</f>
        <v>12.513818952589872</v>
      </c>
      <c r="D111" s="39">
        <f t="shared" si="63"/>
        <v>14.764165347475569</v>
      </c>
      <c r="E111" s="39">
        <f t="shared" si="63"/>
        <v>16.78437815723295</v>
      </c>
      <c r="F111" s="39">
        <f t="shared" si="63"/>
        <v>19.129779533064195</v>
      </c>
      <c r="G111" s="39">
        <f t="shared" si="63"/>
        <v>21.555180908895395</v>
      </c>
      <c r="H111" s="39">
        <f t="shared" si="63"/>
        <v>23.844620069686286</v>
      </c>
      <c r="I111" s="39">
        <f t="shared" si="63"/>
        <v>26.40178773913388</v>
      </c>
      <c r="J111" s="39">
        <f t="shared" si="63"/>
        <v>29.038955408581444</v>
      </c>
      <c r="K111" s="39">
        <f t="shared" si="63"/>
        <v>31.756123078029034</v>
      </c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</row>
    <row r="112" spans="1:45" s="77" customFormat="1" ht="14.4" customHeight="1">
      <c r="A112" s="40"/>
      <c r="B112" s="40"/>
      <c r="C112" s="31"/>
      <c r="D112" s="31"/>
      <c r="E112" s="31"/>
      <c r="F112" s="31"/>
      <c r="G112" s="31"/>
      <c r="H112" s="31"/>
      <c r="I112" s="31"/>
      <c r="J112" s="31"/>
      <c r="K112" s="31"/>
      <c r="L112" s="7"/>
      <c r="M112" s="7"/>
      <c r="N112" s="7"/>
      <c r="P112" s="78"/>
      <c r="U112" s="75"/>
      <c r="V112" s="75"/>
      <c r="W112" s="76"/>
      <c r="Y112" s="78"/>
    </row>
    <row r="113" spans="1:45" s="12" customFormat="1">
      <c r="A113" s="27"/>
      <c r="B113" s="27"/>
      <c r="C113" s="33"/>
      <c r="D113" s="33"/>
      <c r="E113" s="33"/>
      <c r="F113" s="33"/>
      <c r="G113" s="34"/>
      <c r="H113" s="33"/>
      <c r="I113" s="33"/>
      <c r="J113" s="33"/>
      <c r="K113" s="33"/>
      <c r="L113" s="7"/>
      <c r="M113" s="7"/>
      <c r="N113" s="7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</row>
    <row r="114" spans="1:45">
      <c r="A114" s="27"/>
      <c r="B114" s="27"/>
      <c r="C114" s="44"/>
      <c r="D114" s="44"/>
      <c r="E114" s="44"/>
      <c r="F114" s="44"/>
      <c r="G114" s="42"/>
      <c r="H114" s="33"/>
      <c r="I114" s="33"/>
      <c r="J114" s="33"/>
      <c r="K114" s="33"/>
      <c r="L114" s="7"/>
      <c r="M114" s="7"/>
      <c r="N114" s="7"/>
      <c r="O114" s="7"/>
      <c r="Q114" s="7"/>
      <c r="R114" s="7"/>
      <c r="S114" s="7"/>
      <c r="T114" s="7"/>
      <c r="U114" s="7"/>
      <c r="V114" s="7"/>
      <c r="W114" s="7"/>
      <c r="X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</row>
    <row r="115" spans="1:45">
      <c r="A115" s="27"/>
      <c r="B115" s="27"/>
      <c r="C115" s="44"/>
      <c r="D115" s="44"/>
      <c r="E115" s="44"/>
      <c r="F115" s="44"/>
      <c r="G115" s="42"/>
      <c r="H115" s="33"/>
      <c r="I115" s="33"/>
      <c r="J115" s="33"/>
      <c r="K115" s="33"/>
      <c r="L115" s="7"/>
      <c r="M115" s="7"/>
      <c r="N115" s="7"/>
      <c r="O115" s="7"/>
      <c r="Q115" s="7"/>
      <c r="R115" s="7"/>
      <c r="S115" s="7"/>
      <c r="T115" s="7"/>
      <c r="U115" s="7"/>
      <c r="V115" s="7"/>
      <c r="W115" s="7"/>
      <c r="X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</row>
    <row r="116" spans="1:45">
      <c r="A116" s="27" t="s">
        <v>4</v>
      </c>
      <c r="B116" s="27"/>
      <c r="C116" s="31">
        <v>200</v>
      </c>
      <c r="D116" s="31">
        <v>400</v>
      </c>
      <c r="E116" s="31">
        <v>600</v>
      </c>
      <c r="F116" s="31">
        <v>800</v>
      </c>
      <c r="G116" s="31">
        <v>1000</v>
      </c>
      <c r="H116" s="31">
        <v>1200</v>
      </c>
      <c r="I116" s="31">
        <v>1400</v>
      </c>
      <c r="J116" s="31">
        <v>1600</v>
      </c>
      <c r="K116" s="31">
        <v>1800</v>
      </c>
      <c r="L116" s="26"/>
      <c r="M116" s="26"/>
      <c r="N116" s="45"/>
      <c r="O116" s="7"/>
      <c r="Q116" s="7"/>
      <c r="R116" s="7"/>
      <c r="S116" s="7"/>
      <c r="T116" s="7"/>
      <c r="U116" s="7"/>
      <c r="V116" s="7"/>
      <c r="W116" s="7"/>
      <c r="X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</row>
    <row r="117" spans="1:45">
      <c r="A117" s="27"/>
      <c r="B117" s="27"/>
      <c r="C117" s="30"/>
      <c r="D117" s="30"/>
      <c r="E117" s="30"/>
      <c r="F117" s="30"/>
      <c r="G117" s="30"/>
      <c r="H117" s="30"/>
      <c r="I117" s="30"/>
      <c r="J117" s="30"/>
      <c r="K117" s="30"/>
      <c r="L117" s="26"/>
      <c r="M117" s="26"/>
      <c r="N117" s="45"/>
      <c r="O117" s="7"/>
      <c r="Q117" s="7"/>
      <c r="R117" s="7"/>
      <c r="S117" s="7"/>
      <c r="T117" s="7"/>
      <c r="U117" s="7"/>
      <c r="V117" s="7"/>
      <c r="W117" s="7"/>
      <c r="X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</row>
    <row r="118" spans="1:45">
      <c r="A118" s="27" t="s">
        <v>81</v>
      </c>
      <c r="B118" s="27"/>
      <c r="C118" s="30">
        <f t="shared" ref="C118:K118" si="64">0.71*$G$6/1000*C116/$D$6/$C$6</f>
        <v>0</v>
      </c>
      <c r="D118" s="30">
        <f t="shared" si="64"/>
        <v>0</v>
      </c>
      <c r="E118" s="30">
        <f t="shared" si="64"/>
        <v>0</v>
      </c>
      <c r="F118" s="30">
        <f t="shared" si="64"/>
        <v>0</v>
      </c>
      <c r="G118" s="30">
        <f t="shared" si="64"/>
        <v>0</v>
      </c>
      <c r="H118" s="30">
        <f t="shared" si="64"/>
        <v>0</v>
      </c>
      <c r="I118" s="30">
        <f t="shared" si="64"/>
        <v>0</v>
      </c>
      <c r="J118" s="30">
        <f t="shared" si="64"/>
        <v>0</v>
      </c>
      <c r="K118" s="30">
        <f t="shared" si="64"/>
        <v>0</v>
      </c>
      <c r="L118" s="26"/>
      <c r="M118" s="26"/>
      <c r="N118" s="45"/>
      <c r="O118" s="27"/>
      <c r="Q118" s="8"/>
      <c r="R118" s="8"/>
      <c r="S118" s="7"/>
      <c r="T118" s="7"/>
      <c r="U118" s="26"/>
      <c r="V118" s="26"/>
      <c r="W118" s="45"/>
      <c r="X118" s="27"/>
      <c r="Z118" s="8"/>
      <c r="AA118" s="8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</row>
    <row r="119" spans="1:45">
      <c r="A119" s="27" t="s">
        <v>82</v>
      </c>
      <c r="B119" s="27"/>
      <c r="C119" s="30">
        <f t="shared" ref="C119:K119" si="65">IF($D$7=0,0,0.5*$G$7/1000*C116/$D$7/$C$7)</f>
        <v>0</v>
      </c>
      <c r="D119" s="30">
        <f t="shared" si="65"/>
        <v>0</v>
      </c>
      <c r="E119" s="30">
        <f t="shared" si="65"/>
        <v>0</v>
      </c>
      <c r="F119" s="30">
        <f t="shared" si="65"/>
        <v>0</v>
      </c>
      <c r="G119" s="30">
        <f t="shared" si="65"/>
        <v>0</v>
      </c>
      <c r="H119" s="30">
        <f t="shared" si="65"/>
        <v>0</v>
      </c>
      <c r="I119" s="30">
        <f t="shared" si="65"/>
        <v>0</v>
      </c>
      <c r="J119" s="30">
        <f t="shared" si="65"/>
        <v>0</v>
      </c>
      <c r="K119" s="30">
        <f t="shared" si="65"/>
        <v>0</v>
      </c>
      <c r="L119" s="26"/>
      <c r="M119" s="26"/>
      <c r="N119" s="45"/>
      <c r="O119" s="27"/>
      <c r="Q119" s="8"/>
      <c r="R119" s="8"/>
      <c r="S119" s="7"/>
      <c r="T119" s="7"/>
      <c r="U119" s="26"/>
      <c r="V119" s="26"/>
      <c r="W119" s="45"/>
      <c r="X119" s="27"/>
      <c r="Z119" s="8"/>
      <c r="AA119" s="8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</row>
    <row r="120" spans="1:45">
      <c r="A120" s="27" t="s">
        <v>83</v>
      </c>
      <c r="B120" s="27"/>
      <c r="C120" s="30">
        <f t="shared" ref="C120:K120" si="66">IF($D$8=0,0,0.8*$G$8/1000*C116/$D$8/$C$8)</f>
        <v>493.07607843137265</v>
      </c>
      <c r="D120" s="30">
        <f t="shared" si="66"/>
        <v>986.1521568627453</v>
      </c>
      <c r="E120" s="30">
        <f t="shared" si="66"/>
        <v>1479.2282352941177</v>
      </c>
      <c r="F120" s="30">
        <f t="shared" si="66"/>
        <v>1972.3043137254906</v>
      </c>
      <c r="G120" s="30">
        <f t="shared" si="66"/>
        <v>2465.3803921568629</v>
      </c>
      <c r="H120" s="30">
        <f t="shared" si="66"/>
        <v>2958.4564705882353</v>
      </c>
      <c r="I120" s="30">
        <f t="shared" si="66"/>
        <v>3451.5325490196083</v>
      </c>
      <c r="J120" s="30">
        <f t="shared" si="66"/>
        <v>3944.6086274509812</v>
      </c>
      <c r="K120" s="30">
        <f t="shared" si="66"/>
        <v>4437.6847058823541</v>
      </c>
      <c r="L120" s="26"/>
      <c r="M120" s="26"/>
      <c r="N120" s="45"/>
      <c r="O120" s="27"/>
      <c r="Q120" s="8"/>
      <c r="R120" s="8"/>
      <c r="S120" s="7"/>
      <c r="T120" s="7"/>
      <c r="U120" s="26"/>
      <c r="V120" s="26"/>
      <c r="W120" s="45"/>
      <c r="X120" s="27"/>
      <c r="Z120" s="8"/>
      <c r="AA120" s="8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</row>
    <row r="121" spans="1:45">
      <c r="A121" s="27" t="s">
        <v>84</v>
      </c>
      <c r="B121" s="27"/>
      <c r="C121" s="30">
        <f t="shared" ref="C121:K121" si="67">0.55*$G$9/1000*C116/$D$9/$C$9</f>
        <v>2337.2861111111115</v>
      </c>
      <c r="D121" s="30">
        <f t="shared" si="67"/>
        <v>4674.572222222223</v>
      </c>
      <c r="E121" s="30">
        <f t="shared" si="67"/>
        <v>7011.8583333333336</v>
      </c>
      <c r="F121" s="30">
        <f t="shared" si="67"/>
        <v>9349.144444444446</v>
      </c>
      <c r="G121" s="30">
        <f t="shared" si="67"/>
        <v>11686.430555555557</v>
      </c>
      <c r="H121" s="30">
        <f t="shared" si="67"/>
        <v>14023.716666666667</v>
      </c>
      <c r="I121" s="30">
        <f t="shared" si="67"/>
        <v>16361.00277777778</v>
      </c>
      <c r="J121" s="30">
        <f t="shared" si="67"/>
        <v>18698.288888888892</v>
      </c>
      <c r="K121" s="30">
        <f t="shared" si="67"/>
        <v>21035.575000000001</v>
      </c>
      <c r="L121" s="26"/>
      <c r="M121" s="26"/>
      <c r="N121" s="45"/>
      <c r="O121" s="27"/>
      <c r="Q121" s="8"/>
      <c r="R121" s="8"/>
      <c r="S121" s="7"/>
      <c r="T121" s="7"/>
      <c r="U121" s="26"/>
      <c r="V121" s="26"/>
      <c r="W121" s="45"/>
      <c r="X121" s="27"/>
      <c r="Z121" s="8"/>
      <c r="AA121" s="8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</row>
    <row r="122" spans="1:45">
      <c r="A122" s="27" t="s">
        <v>85</v>
      </c>
      <c r="B122" s="27"/>
      <c r="C122" s="30">
        <f>IF($D$10=0,0,0.48*$G$10/1000*C116/$D$10/$C$10)</f>
        <v>286.88639999999992</v>
      </c>
      <c r="D122" s="30">
        <f t="shared" ref="D122:K122" si="68">IF($D$10=0,0,0.48*$G$10/1000*D116/$D$10/$C$10)</f>
        <v>573.77279999999985</v>
      </c>
      <c r="E122" s="30">
        <f t="shared" si="68"/>
        <v>860.65919999999994</v>
      </c>
      <c r="F122" s="30">
        <f t="shared" si="68"/>
        <v>1147.5455999999997</v>
      </c>
      <c r="G122" s="30">
        <f t="shared" si="68"/>
        <v>1434.432</v>
      </c>
      <c r="H122" s="30">
        <f t="shared" si="68"/>
        <v>1721.3183999999999</v>
      </c>
      <c r="I122" s="30">
        <f t="shared" si="68"/>
        <v>2008.2047999999998</v>
      </c>
      <c r="J122" s="30">
        <f t="shared" si="68"/>
        <v>2295.0911999999994</v>
      </c>
      <c r="K122" s="30">
        <f t="shared" si="68"/>
        <v>2581.9775999999997</v>
      </c>
      <c r="L122" s="26"/>
      <c r="M122" s="26"/>
      <c r="N122" s="45"/>
      <c r="O122" s="27"/>
      <c r="Q122" s="8"/>
      <c r="R122" s="8"/>
      <c r="S122" s="7"/>
      <c r="T122" s="7"/>
      <c r="U122" s="26"/>
      <c r="V122" s="26"/>
      <c r="W122" s="45"/>
      <c r="X122" s="27"/>
      <c r="Z122" s="8"/>
      <c r="AA122" s="8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</row>
    <row r="123" spans="1:45">
      <c r="A123" s="27" t="s">
        <v>98</v>
      </c>
      <c r="B123" s="27"/>
      <c r="C123" s="30">
        <f t="shared" ref="C123:K123" si="69">0.089*$G$5/1000*(C64-C58*$D$19)</f>
        <v>1928.463895174915</v>
      </c>
      <c r="D123" s="30">
        <f t="shared" si="69"/>
        <v>3856.92779034983</v>
      </c>
      <c r="E123" s="30">
        <f t="shared" si="69"/>
        <v>5638.1047840626088</v>
      </c>
      <c r="F123" s="30">
        <f t="shared" si="69"/>
        <v>7517.473045416813</v>
      </c>
      <c r="G123" s="30">
        <f t="shared" si="69"/>
        <v>9396.8413067710153</v>
      </c>
      <c r="H123" s="30">
        <f t="shared" si="69"/>
        <v>11155.94725191269</v>
      </c>
      <c r="I123" s="30">
        <f t="shared" si="69"/>
        <v>13015.271793898139</v>
      </c>
      <c r="J123" s="30">
        <f t="shared" si="69"/>
        <v>14874.596335883587</v>
      </c>
      <c r="K123" s="30">
        <f t="shared" si="69"/>
        <v>16733.920877869034</v>
      </c>
      <c r="L123" s="26"/>
      <c r="M123" s="26"/>
      <c r="N123" s="45"/>
      <c r="O123" s="27"/>
      <c r="Q123" s="8"/>
      <c r="R123" s="8"/>
      <c r="S123" s="7"/>
      <c r="T123" s="7"/>
      <c r="U123" s="26"/>
      <c r="V123" s="26"/>
      <c r="W123" s="45"/>
      <c r="X123" s="27"/>
      <c r="Z123" s="8"/>
      <c r="AA123" s="8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</row>
    <row r="124" spans="1:45">
      <c r="A124" s="27" t="s">
        <v>12</v>
      </c>
      <c r="B124" s="27"/>
      <c r="C124" s="30">
        <f t="shared" ref="C124:K124" si="70">SUM(C118:C123)</f>
        <v>5045.7124847173991</v>
      </c>
      <c r="D124" s="30">
        <f t="shared" si="70"/>
        <v>10091.424969434798</v>
      </c>
      <c r="E124" s="30">
        <f t="shared" si="70"/>
        <v>14989.850552690061</v>
      </c>
      <c r="F124" s="30">
        <f t="shared" si="70"/>
        <v>19986.46740358675</v>
      </c>
      <c r="G124" s="30">
        <f t="shared" si="70"/>
        <v>24983.084254483438</v>
      </c>
      <c r="H124" s="30">
        <f t="shared" si="70"/>
        <v>29859.438789167594</v>
      </c>
      <c r="I124" s="30">
        <f t="shared" si="70"/>
        <v>34836.011920695528</v>
      </c>
      <c r="J124" s="30">
        <f t="shared" si="70"/>
        <v>39812.585052223454</v>
      </c>
      <c r="K124" s="30">
        <f t="shared" si="70"/>
        <v>44789.158183751388</v>
      </c>
      <c r="L124" s="26"/>
      <c r="M124" s="26"/>
      <c r="N124" s="45"/>
      <c r="O124" s="27"/>
      <c r="Q124" s="8"/>
      <c r="R124" s="8"/>
      <c r="S124" s="7"/>
      <c r="T124" s="7"/>
      <c r="U124" s="26"/>
      <c r="V124" s="26"/>
      <c r="W124" s="45"/>
      <c r="X124" s="27"/>
      <c r="Z124" s="8"/>
      <c r="AA124" s="8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</row>
    <row r="125" spans="1:45" s="22" customFormat="1">
      <c r="A125" s="27" t="s">
        <v>32</v>
      </c>
      <c r="B125" s="27"/>
      <c r="C125" s="46">
        <f>(99.94-5.257*C68+0.1755*C68*C68-0.06767*$D$5-0.002662*C65*C68)/100*$G$5</f>
        <v>231618.3212888806</v>
      </c>
      <c r="D125" s="46">
        <f t="shared" ref="D125:K125" si="71">(99.94-5.257*D68+0.1755*D68*D68-0.06767*$D$5-0.002662*D65*D68)/100*$G$5</f>
        <v>211187.34049376118</v>
      </c>
      <c r="E125" s="46">
        <f t="shared" si="71"/>
        <v>193321.10635187535</v>
      </c>
      <c r="F125" s="46">
        <f t="shared" si="71"/>
        <v>197224.08820809211</v>
      </c>
      <c r="G125" s="46">
        <f t="shared" si="71"/>
        <v>214632.06777367246</v>
      </c>
      <c r="H125" s="46">
        <f t="shared" si="71"/>
        <v>228558.14204560121</v>
      </c>
      <c r="I125" s="46">
        <f t="shared" si="71"/>
        <v>241479.3187639575</v>
      </c>
      <c r="J125" s="46">
        <f t="shared" si="71"/>
        <v>252322.49780315094</v>
      </c>
      <c r="K125" s="46">
        <f t="shared" si="71"/>
        <v>261464.84693450673</v>
      </c>
      <c r="L125" s="26"/>
      <c r="M125" s="26"/>
      <c r="N125" s="45"/>
      <c r="O125" s="27"/>
      <c r="Q125" s="47"/>
      <c r="R125" s="47"/>
      <c r="S125" s="48"/>
      <c r="T125" s="48"/>
      <c r="U125" s="26"/>
      <c r="V125" s="26"/>
      <c r="W125" s="45"/>
      <c r="X125" s="27"/>
      <c r="Z125" s="47"/>
      <c r="AA125" s="47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</row>
    <row r="126" spans="1:45">
      <c r="A126" s="27" t="s">
        <v>33</v>
      </c>
      <c r="B126" s="27"/>
      <c r="C126" s="30">
        <f t="shared" ref="C126:K126" si="72">$G$10*0.9^C70</f>
        <v>18458.551774549484</v>
      </c>
      <c r="D126" s="30">
        <f t="shared" si="72"/>
        <v>18458.551774549484</v>
      </c>
      <c r="E126" s="30">
        <f t="shared" si="72"/>
        <v>18458.551774549484</v>
      </c>
      <c r="F126" s="30">
        <f t="shared" si="72"/>
        <v>18458.551774549484</v>
      </c>
      <c r="G126" s="30">
        <f t="shared" si="72"/>
        <v>18458.551774549484</v>
      </c>
      <c r="H126" s="30">
        <f t="shared" si="72"/>
        <v>18458.551774549484</v>
      </c>
      <c r="I126" s="30">
        <f t="shared" si="72"/>
        <v>18458.551774549484</v>
      </c>
      <c r="J126" s="30">
        <f t="shared" si="72"/>
        <v>18458.551774549484</v>
      </c>
      <c r="K126" s="30">
        <f t="shared" si="72"/>
        <v>18458.551774549484</v>
      </c>
      <c r="L126" s="26"/>
      <c r="M126" s="26"/>
      <c r="N126" s="45"/>
      <c r="O126" s="27"/>
      <c r="Q126" s="8"/>
      <c r="R126" s="8"/>
      <c r="S126" s="7"/>
      <c r="T126" s="7"/>
      <c r="U126" s="26"/>
      <c r="V126" s="26"/>
      <c r="W126" s="45"/>
      <c r="X126" s="27"/>
      <c r="Z126" s="8"/>
      <c r="AA126" s="8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</row>
    <row r="127" spans="1:45" s="12" customFormat="1">
      <c r="A127" s="29" t="s">
        <v>63</v>
      </c>
      <c r="B127" s="29"/>
      <c r="C127" s="31">
        <f t="shared" ref="C127:K127" si="73">+(($G$5-C125)/C68+($G$5+C125)/2*$D$21)/C65*(C64-C58*$D$19)</f>
        <v>8132.0427271094359</v>
      </c>
      <c r="D127" s="31">
        <f t="shared" si="73"/>
        <v>9737.0943031058468</v>
      </c>
      <c r="E127" s="31">
        <f t="shared" si="73"/>
        <v>10729.352942555994</v>
      </c>
      <c r="F127" s="31">
        <f t="shared" si="73"/>
        <v>12132.029284325463</v>
      </c>
      <c r="G127" s="31">
        <f t="shared" si="73"/>
        <v>13646.974263253</v>
      </c>
      <c r="H127" s="31">
        <f t="shared" si="73"/>
        <v>14920.929943810346</v>
      </c>
      <c r="I127" s="31">
        <f t="shared" si="73"/>
        <v>16097.140695391749</v>
      </c>
      <c r="J127" s="31">
        <f t="shared" si="73"/>
        <v>17181.367636469309</v>
      </c>
      <c r="K127" s="31">
        <f t="shared" si="73"/>
        <v>18200.103477371857</v>
      </c>
      <c r="L127" s="26"/>
      <c r="M127" s="26"/>
      <c r="N127" s="45"/>
      <c r="O127" s="29"/>
      <c r="Q127" s="41"/>
      <c r="R127" s="41"/>
      <c r="S127" s="21"/>
      <c r="T127" s="21"/>
      <c r="U127" s="26"/>
      <c r="V127" s="26"/>
      <c r="W127" s="45"/>
      <c r="X127" s="29"/>
      <c r="Z127" s="41"/>
      <c r="AA127" s="4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</row>
    <row r="128" spans="1:45" s="12" customFormat="1">
      <c r="A128" s="29" t="s">
        <v>26</v>
      </c>
      <c r="B128" s="29"/>
      <c r="C128" s="31">
        <f t="shared" ref="C128:K128" si="74">+($G$11-C126)/C70+($G$11+C126)/2*$D$21</f>
        <v>50271.327583854356</v>
      </c>
      <c r="D128" s="31">
        <f t="shared" si="74"/>
        <v>50271.327583854356</v>
      </c>
      <c r="E128" s="31">
        <f t="shared" si="74"/>
        <v>50271.327583854356</v>
      </c>
      <c r="F128" s="31">
        <f t="shared" si="74"/>
        <v>50271.327583854356</v>
      </c>
      <c r="G128" s="31">
        <f t="shared" si="74"/>
        <v>50271.327583854356</v>
      </c>
      <c r="H128" s="31">
        <f t="shared" si="74"/>
        <v>50271.327583854356</v>
      </c>
      <c r="I128" s="31">
        <f t="shared" si="74"/>
        <v>50271.327583854356</v>
      </c>
      <c r="J128" s="31">
        <f t="shared" si="74"/>
        <v>50271.327583854356</v>
      </c>
      <c r="K128" s="31">
        <f t="shared" si="74"/>
        <v>50271.327583854356</v>
      </c>
      <c r="L128" s="26"/>
      <c r="M128" s="26"/>
      <c r="N128" s="45"/>
      <c r="O128" s="29"/>
      <c r="Q128" s="41"/>
      <c r="R128" s="41"/>
      <c r="S128" s="21"/>
      <c r="T128" s="21"/>
      <c r="U128" s="26"/>
      <c r="V128" s="26"/>
      <c r="W128" s="45"/>
      <c r="X128" s="29"/>
      <c r="Z128" s="41"/>
      <c r="AA128" s="4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</row>
    <row r="129" spans="1:45">
      <c r="A129" s="27" t="s">
        <v>99</v>
      </c>
      <c r="B129" s="27"/>
      <c r="C129" s="30">
        <f>+(C64-C58*$D$19)*$D$15</f>
        <v>12319.597001399945</v>
      </c>
      <c r="D129" s="30">
        <f t="shared" ref="D129:K129" si="75">+(D64-D58*$D$19)*$D$15</f>
        <v>24639.19400279989</v>
      </c>
      <c r="E129" s="30">
        <f t="shared" si="75"/>
        <v>36017.878771340089</v>
      </c>
      <c r="F129" s="30">
        <f t="shared" si="75"/>
        <v>48023.838361786795</v>
      </c>
      <c r="G129" s="30">
        <f t="shared" si="75"/>
        <v>60029.797952233486</v>
      </c>
      <c r="H129" s="30">
        <f t="shared" si="75"/>
        <v>71267.486343048062</v>
      </c>
      <c r="I129" s="30">
        <f t="shared" si="75"/>
        <v>83145.400733556075</v>
      </c>
      <c r="J129" s="30">
        <f t="shared" si="75"/>
        <v>95023.315124064087</v>
      </c>
      <c r="K129" s="30">
        <f t="shared" si="75"/>
        <v>106901.22951457209</v>
      </c>
      <c r="L129" s="26"/>
      <c r="M129" s="26"/>
      <c r="N129" s="45"/>
      <c r="O129" s="27"/>
      <c r="P129" s="24"/>
      <c r="Q129" s="8"/>
      <c r="R129" s="8"/>
      <c r="S129" s="7"/>
      <c r="T129" s="7"/>
      <c r="U129" s="26"/>
      <c r="V129" s="26"/>
      <c r="W129" s="45"/>
      <c r="X129" s="27"/>
      <c r="Y129" s="24"/>
      <c r="Z129" s="8"/>
      <c r="AA129" s="8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</row>
    <row r="130" spans="1:45">
      <c r="A130" s="27" t="s">
        <v>100</v>
      </c>
      <c r="B130" s="27"/>
      <c r="C130" s="30">
        <f t="shared" ref="C130:K130" si="76">+(C64-C58*$D$19)*$D$16*(0.00008+0.127)*$D$5</f>
        <v>4817.151959808938</v>
      </c>
      <c r="D130" s="30">
        <f t="shared" si="76"/>
        <v>9634.3039196178761</v>
      </c>
      <c r="E130" s="30">
        <f t="shared" si="76"/>
        <v>14083.544720805843</v>
      </c>
      <c r="F130" s="30">
        <f t="shared" si="76"/>
        <v>18778.059627741124</v>
      </c>
      <c r="G130" s="30">
        <f t="shared" si="76"/>
        <v>23472.574534676402</v>
      </c>
      <c r="H130" s="30">
        <f t="shared" si="76"/>
        <v>27866.683582998608</v>
      </c>
      <c r="I130" s="30">
        <f t="shared" si="76"/>
        <v>32511.130846831707</v>
      </c>
      <c r="J130" s="30">
        <f t="shared" si="76"/>
        <v>37155.578110664806</v>
      </c>
      <c r="K130" s="30">
        <f t="shared" si="76"/>
        <v>41800.025374497913</v>
      </c>
      <c r="L130" s="26"/>
      <c r="M130" s="26"/>
      <c r="N130" s="45"/>
      <c r="O130" s="27"/>
      <c r="P130" s="24"/>
      <c r="Q130" s="8"/>
      <c r="R130" s="8"/>
      <c r="S130" s="7"/>
      <c r="T130" s="7"/>
      <c r="U130" s="26"/>
      <c r="V130" s="26"/>
      <c r="W130" s="45"/>
      <c r="X130" s="27"/>
      <c r="Y130" s="24"/>
      <c r="Z130" s="8"/>
      <c r="AA130" s="8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</row>
    <row r="131" spans="1:45">
      <c r="A131" s="27" t="s">
        <v>13</v>
      </c>
      <c r="B131" s="27"/>
      <c r="C131" s="49">
        <f t="shared" ref="C131:K131" si="77">C71/100*$D$23*$D$17*C116</f>
        <v>52236.193139634655</v>
      </c>
      <c r="D131" s="49">
        <f t="shared" si="77"/>
        <v>124696.55305619704</v>
      </c>
      <c r="E131" s="49">
        <f t="shared" si="77"/>
        <v>216550.35231226901</v>
      </c>
      <c r="F131" s="49">
        <f t="shared" si="77"/>
        <v>331109.16228014656</v>
      </c>
      <c r="G131" s="49">
        <f t="shared" si="77"/>
        <v>468278.05184658431</v>
      </c>
      <c r="H131" s="49">
        <f t="shared" si="77"/>
        <v>626829.99235048564</v>
      </c>
      <c r="I131" s="49">
        <f t="shared" si="77"/>
        <v>811174.13799868373</v>
      </c>
      <c r="J131" s="49">
        <f t="shared" si="77"/>
        <v>1020614.8322915814</v>
      </c>
      <c r="K131" s="49">
        <f t="shared" si="77"/>
        <v>1256005.5152291791</v>
      </c>
      <c r="L131" s="26"/>
      <c r="M131" s="26"/>
      <c r="N131" s="45"/>
      <c r="O131" s="27"/>
      <c r="Q131" s="8"/>
      <c r="R131" s="8"/>
      <c r="S131" s="7"/>
      <c r="T131" s="7"/>
      <c r="U131" s="26"/>
      <c r="V131" s="26"/>
      <c r="W131" s="45"/>
      <c r="X131" s="27"/>
      <c r="Z131" s="8"/>
      <c r="AA131" s="8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</row>
    <row r="132" spans="1:45">
      <c r="A132" s="50" t="s">
        <v>38</v>
      </c>
      <c r="B132" s="50"/>
      <c r="C132" s="33">
        <f t="shared" ref="C132:K132" si="78">+C116*$D$23*$D$13/100</f>
        <v>0</v>
      </c>
      <c r="D132" s="33">
        <f t="shared" si="78"/>
        <v>0</v>
      </c>
      <c r="E132" s="33">
        <f t="shared" si="78"/>
        <v>0</v>
      </c>
      <c r="F132" s="33">
        <f t="shared" si="78"/>
        <v>0</v>
      </c>
      <c r="G132" s="33">
        <f t="shared" si="78"/>
        <v>0</v>
      </c>
      <c r="H132" s="33">
        <f t="shared" si="78"/>
        <v>0</v>
      </c>
      <c r="I132" s="33">
        <f t="shared" si="78"/>
        <v>0</v>
      </c>
      <c r="J132" s="33">
        <f t="shared" si="78"/>
        <v>0</v>
      </c>
      <c r="K132" s="33">
        <f t="shared" si="78"/>
        <v>0</v>
      </c>
      <c r="L132" s="26"/>
      <c r="M132" s="26"/>
      <c r="N132" s="45"/>
      <c r="O132" s="50"/>
      <c r="Q132" s="8"/>
      <c r="R132" s="8"/>
      <c r="S132" s="7"/>
      <c r="T132" s="7"/>
      <c r="U132" s="26"/>
      <c r="V132" s="26"/>
      <c r="W132" s="45"/>
      <c r="X132" s="50"/>
      <c r="Z132" s="8"/>
      <c r="AA132" s="8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</row>
    <row r="133" spans="1:45">
      <c r="A133" s="50" t="s">
        <v>75</v>
      </c>
      <c r="B133" s="50"/>
      <c r="C133" s="33">
        <f t="shared" ref="C133:K133" si="79">+C127+C128+C130+C124</f>
        <v>68266.234755490135</v>
      </c>
      <c r="D133" s="33">
        <f t="shared" si="79"/>
        <v>79734.150776012873</v>
      </c>
      <c r="E133" s="33">
        <f t="shared" si="79"/>
        <v>90074.075799906248</v>
      </c>
      <c r="F133" s="33">
        <f t="shared" si="79"/>
        <v>101167.88389950769</v>
      </c>
      <c r="G133" s="33">
        <f t="shared" si="79"/>
        <v>112373.96063626721</v>
      </c>
      <c r="H133" s="33">
        <f t="shared" si="79"/>
        <v>122918.37989983091</v>
      </c>
      <c r="I133" s="33">
        <f t="shared" si="79"/>
        <v>133715.61104677332</v>
      </c>
      <c r="J133" s="33">
        <f t="shared" si="79"/>
        <v>144420.85838321192</v>
      </c>
      <c r="K133" s="33">
        <f t="shared" si="79"/>
        <v>155060.6146194755</v>
      </c>
      <c r="L133" s="30"/>
      <c r="M133" s="30"/>
      <c r="N133" s="30"/>
      <c r="O133" s="50"/>
      <c r="Q133" s="8"/>
      <c r="R133" s="8"/>
      <c r="S133" s="7"/>
      <c r="T133" s="7"/>
      <c r="U133" s="26"/>
      <c r="V133" s="26"/>
      <c r="W133" s="45"/>
      <c r="X133" s="50"/>
      <c r="Z133" s="8"/>
      <c r="AA133" s="8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</row>
    <row r="134" spans="1:45" s="24" customFormat="1">
      <c r="A134" s="51" t="s">
        <v>27</v>
      </c>
      <c r="B134" s="51" t="s">
        <v>94</v>
      </c>
      <c r="C134" s="52">
        <f t="shared" ref="C134:K134" si="80">C124+C127+C128+C129+C130+C131+C132</f>
        <v>132822.02489652473</v>
      </c>
      <c r="D134" s="52">
        <f t="shared" si="80"/>
        <v>229069.89783500979</v>
      </c>
      <c r="E134" s="52">
        <f t="shared" si="80"/>
        <v>342642.30688351538</v>
      </c>
      <c r="F134" s="52">
        <f t="shared" si="80"/>
        <v>480300.88454144105</v>
      </c>
      <c r="G134" s="52">
        <f t="shared" si="80"/>
        <v>640681.81043508498</v>
      </c>
      <c r="H134" s="52">
        <f t="shared" si="80"/>
        <v>821015.8585933646</v>
      </c>
      <c r="I134" s="52">
        <f t="shared" si="80"/>
        <v>1028035.1497790131</v>
      </c>
      <c r="J134" s="52">
        <f t="shared" si="80"/>
        <v>1260059.0057988574</v>
      </c>
      <c r="K134" s="52">
        <f t="shared" si="80"/>
        <v>1517967.3593632267</v>
      </c>
      <c r="L134" s="7"/>
      <c r="M134" s="7"/>
      <c r="N134" s="7"/>
      <c r="O134" s="51"/>
      <c r="P134" s="5"/>
      <c r="Q134" s="8"/>
      <c r="R134" s="8"/>
      <c r="S134" s="33"/>
      <c r="T134" s="7"/>
      <c r="U134" s="26"/>
      <c r="V134" s="26"/>
      <c r="W134" s="45"/>
      <c r="X134" s="51"/>
      <c r="Y134" s="5"/>
      <c r="Z134" s="8"/>
      <c r="AA134" s="8"/>
      <c r="AB134" s="33"/>
      <c r="AC134" s="7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</row>
    <row r="135" spans="1:45" s="24" customFormat="1">
      <c r="A135" s="51"/>
      <c r="B135" s="51"/>
      <c r="C135" s="52"/>
      <c r="D135" s="52"/>
      <c r="E135" s="52"/>
      <c r="F135" s="52"/>
      <c r="G135" s="52"/>
      <c r="H135" s="52"/>
      <c r="I135" s="52"/>
      <c r="J135" s="52"/>
      <c r="K135" s="52"/>
      <c r="L135" s="5"/>
      <c r="M135" s="5"/>
      <c r="N135" s="5"/>
      <c r="O135" s="30"/>
      <c r="P135" s="5"/>
      <c r="Q135" s="8"/>
      <c r="R135" s="8"/>
      <c r="S135" s="33"/>
      <c r="T135" s="7"/>
      <c r="U135" s="30"/>
      <c r="V135" s="30"/>
      <c r="W135" s="30"/>
      <c r="X135" s="30"/>
      <c r="Y135" s="5"/>
      <c r="Z135" s="8"/>
      <c r="AA135" s="8"/>
      <c r="AB135" s="33"/>
      <c r="AC135" s="7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</row>
    <row r="136" spans="1:45">
      <c r="A136" s="27" t="s">
        <v>4</v>
      </c>
      <c r="B136" s="27"/>
      <c r="C136" s="31">
        <v>200</v>
      </c>
      <c r="D136" s="31">
        <v>400</v>
      </c>
      <c r="E136" s="31">
        <v>600</v>
      </c>
      <c r="F136" s="31">
        <v>800</v>
      </c>
      <c r="G136" s="31">
        <v>1000</v>
      </c>
      <c r="H136" s="31">
        <v>1200</v>
      </c>
      <c r="I136" s="31">
        <v>1400</v>
      </c>
      <c r="J136" s="31">
        <v>1600</v>
      </c>
      <c r="K136" s="31">
        <v>1800</v>
      </c>
      <c r="L136" s="25"/>
      <c r="M136" s="25"/>
      <c r="N136" s="21"/>
      <c r="O136" s="7"/>
      <c r="Q136" s="8"/>
      <c r="R136" s="8"/>
      <c r="S136" s="7"/>
      <c r="T136" s="7"/>
      <c r="U136" s="7"/>
      <c r="V136" s="7"/>
      <c r="W136" s="7"/>
      <c r="X136" s="7"/>
      <c r="Z136" s="8"/>
      <c r="AA136" s="8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</row>
    <row r="137" spans="1:45">
      <c r="L137" s="25"/>
      <c r="M137" s="25"/>
      <c r="N137" s="21"/>
    </row>
    <row r="138" spans="1:45" s="12" customFormat="1">
      <c r="A138" s="27" t="s">
        <v>81</v>
      </c>
      <c r="B138" s="27"/>
      <c r="C138" s="30">
        <f t="shared" ref="C138:K138" si="81">IF($E$6=0,0,0.71*$H$6/1000*C136/$E$6/$C$6)</f>
        <v>0</v>
      </c>
      <c r="D138" s="30">
        <f t="shared" si="81"/>
        <v>0</v>
      </c>
      <c r="E138" s="30">
        <f t="shared" si="81"/>
        <v>0</v>
      </c>
      <c r="F138" s="30">
        <f t="shared" si="81"/>
        <v>0</v>
      </c>
      <c r="G138" s="30">
        <f t="shared" si="81"/>
        <v>0</v>
      </c>
      <c r="H138" s="30">
        <f t="shared" si="81"/>
        <v>0</v>
      </c>
      <c r="I138" s="30">
        <f t="shared" si="81"/>
        <v>0</v>
      </c>
      <c r="J138" s="30">
        <f t="shared" si="81"/>
        <v>0</v>
      </c>
      <c r="K138" s="30">
        <f t="shared" si="81"/>
        <v>0</v>
      </c>
      <c r="L138" s="25"/>
      <c r="M138" s="25"/>
      <c r="N138" s="21"/>
      <c r="O138" s="21"/>
      <c r="Q138" s="41"/>
      <c r="R138" s="41"/>
      <c r="S138" s="21"/>
      <c r="T138" s="21"/>
      <c r="U138" s="25"/>
      <c r="V138" s="25"/>
      <c r="W138" s="21"/>
      <c r="X138" s="21"/>
      <c r="Z138" s="41"/>
      <c r="AA138" s="4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</row>
    <row r="139" spans="1:45" s="12" customFormat="1">
      <c r="A139" s="27" t="s">
        <v>82</v>
      </c>
      <c r="B139" s="27"/>
      <c r="C139" s="30">
        <f t="shared" ref="C139:K139" si="82">IF($E$7=0,0,0.5*$H$7/1000*C136/$E$7/$C$7)</f>
        <v>0</v>
      </c>
      <c r="D139" s="30">
        <f t="shared" si="82"/>
        <v>0</v>
      </c>
      <c r="E139" s="30">
        <f t="shared" si="82"/>
        <v>0</v>
      </c>
      <c r="F139" s="30">
        <f t="shared" si="82"/>
        <v>0</v>
      </c>
      <c r="G139" s="30">
        <f t="shared" si="82"/>
        <v>0</v>
      </c>
      <c r="H139" s="30">
        <f t="shared" si="82"/>
        <v>0</v>
      </c>
      <c r="I139" s="30">
        <f t="shared" si="82"/>
        <v>0</v>
      </c>
      <c r="J139" s="30">
        <f t="shared" si="82"/>
        <v>0</v>
      </c>
      <c r="K139" s="30">
        <f t="shared" si="82"/>
        <v>0</v>
      </c>
      <c r="L139" s="25"/>
      <c r="M139" s="25"/>
      <c r="N139" s="21"/>
      <c r="O139" s="21"/>
      <c r="Q139" s="41"/>
      <c r="R139" s="41"/>
      <c r="S139" s="21"/>
      <c r="T139" s="21"/>
      <c r="U139" s="25"/>
      <c r="V139" s="25"/>
      <c r="W139" s="21"/>
      <c r="X139" s="21"/>
      <c r="Z139" s="41"/>
      <c r="AA139" s="4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</row>
    <row r="140" spans="1:45" s="12" customFormat="1">
      <c r="A140" s="27" t="s">
        <v>83</v>
      </c>
      <c r="B140" s="27"/>
      <c r="C140" s="30">
        <f t="shared" ref="C140:K140" si="83">IF($E$8=0,0,0.8*$H$8/1000*C136/$E$8/$C$8)</f>
        <v>576.60773109243701</v>
      </c>
      <c r="D140" s="30">
        <f t="shared" si="83"/>
        <v>1153.215462184874</v>
      </c>
      <c r="E140" s="30">
        <f t="shared" si="83"/>
        <v>1729.823193277311</v>
      </c>
      <c r="F140" s="30">
        <f t="shared" si="83"/>
        <v>2306.430924369748</v>
      </c>
      <c r="G140" s="30">
        <f t="shared" si="83"/>
        <v>2883.038655462185</v>
      </c>
      <c r="H140" s="30">
        <f t="shared" si="83"/>
        <v>3459.646386554622</v>
      </c>
      <c r="I140" s="30">
        <f t="shared" si="83"/>
        <v>4036.254117647059</v>
      </c>
      <c r="J140" s="30">
        <f t="shared" si="83"/>
        <v>4612.8618487394961</v>
      </c>
      <c r="K140" s="30">
        <f t="shared" si="83"/>
        <v>5189.4695798319344</v>
      </c>
      <c r="L140" s="25"/>
      <c r="M140" s="25"/>
      <c r="N140" s="21"/>
      <c r="O140" s="21"/>
      <c r="Q140" s="41"/>
      <c r="R140" s="41"/>
      <c r="S140" s="21"/>
      <c r="T140" s="21"/>
      <c r="U140" s="25"/>
      <c r="V140" s="25"/>
      <c r="W140" s="21"/>
      <c r="X140" s="21"/>
      <c r="Z140" s="41"/>
      <c r="AA140" s="4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</row>
    <row r="141" spans="1:45" s="12" customFormat="1">
      <c r="A141" s="27" t="s">
        <v>84</v>
      </c>
      <c r="B141" s="27"/>
      <c r="C141" s="30">
        <f t="shared" ref="C141:K141" si="84">IF($E$9=0,0,0.55*$H$9/1000*C136/$E$9/$C$9)</f>
        <v>2712.8597222222224</v>
      </c>
      <c r="D141" s="30">
        <f t="shared" si="84"/>
        <v>5425.7194444444449</v>
      </c>
      <c r="E141" s="30">
        <f t="shared" si="84"/>
        <v>8138.5791666666673</v>
      </c>
      <c r="F141" s="30">
        <f t="shared" si="84"/>
        <v>10851.43888888889</v>
      </c>
      <c r="G141" s="30">
        <f t="shared" si="84"/>
        <v>13564.298611111111</v>
      </c>
      <c r="H141" s="30">
        <f t="shared" si="84"/>
        <v>16277.158333333335</v>
      </c>
      <c r="I141" s="30">
        <f t="shared" si="84"/>
        <v>18990.01805555556</v>
      </c>
      <c r="J141" s="30">
        <f t="shared" si="84"/>
        <v>21702.87777777778</v>
      </c>
      <c r="K141" s="30">
        <f t="shared" si="84"/>
        <v>24415.737500000003</v>
      </c>
      <c r="L141" s="25"/>
      <c r="M141" s="25"/>
      <c r="N141" s="21"/>
      <c r="O141" s="21"/>
      <c r="Q141" s="41"/>
      <c r="R141" s="41"/>
      <c r="S141" s="21"/>
      <c r="T141" s="21"/>
      <c r="U141" s="25"/>
      <c r="V141" s="25"/>
      <c r="W141" s="21"/>
      <c r="X141" s="21"/>
      <c r="Z141" s="41"/>
      <c r="AA141" s="4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</row>
    <row r="142" spans="1:45" s="12" customFormat="1">
      <c r="A142" s="27" t="s">
        <v>85</v>
      </c>
      <c r="B142" s="27"/>
      <c r="C142" s="30">
        <f t="shared" ref="C142:K142" si="85">IF($E$10=0,0,0.48*$H$10/1000*C136/$E$10/$C$10)</f>
        <v>337.5288888888889</v>
      </c>
      <c r="D142" s="30">
        <f t="shared" si="85"/>
        <v>675.0577777777778</v>
      </c>
      <c r="E142" s="30">
        <f t="shared" si="85"/>
        <v>1012.5866666666667</v>
      </c>
      <c r="F142" s="30">
        <f t="shared" si="85"/>
        <v>1350.1155555555556</v>
      </c>
      <c r="G142" s="30">
        <f t="shared" si="85"/>
        <v>1687.6444444444444</v>
      </c>
      <c r="H142" s="30">
        <f t="shared" si="85"/>
        <v>2025.1733333333334</v>
      </c>
      <c r="I142" s="30">
        <f t="shared" si="85"/>
        <v>2362.7022222222222</v>
      </c>
      <c r="J142" s="30">
        <f t="shared" si="85"/>
        <v>2700.2311111111112</v>
      </c>
      <c r="K142" s="30">
        <f t="shared" si="85"/>
        <v>3037.76</v>
      </c>
      <c r="L142" s="25"/>
      <c r="M142" s="25"/>
      <c r="N142" s="21"/>
      <c r="O142" s="21"/>
      <c r="Q142" s="41"/>
      <c r="R142" s="41"/>
      <c r="S142" s="21"/>
      <c r="T142" s="21"/>
      <c r="U142" s="25"/>
      <c r="V142" s="25"/>
      <c r="W142" s="21"/>
      <c r="X142" s="21"/>
      <c r="Z142" s="41"/>
      <c r="AA142" s="4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</row>
    <row r="143" spans="1:45" s="12" customFormat="1">
      <c r="A143" s="27" t="s">
        <v>98</v>
      </c>
      <c r="B143" s="27"/>
      <c r="C143" s="30">
        <f t="shared" ref="C143:K143" si="86">0.089*$H$5/1000*(C84-C78*$D$19)</f>
        <v>2628.1180298098343</v>
      </c>
      <c r="D143" s="30">
        <f t="shared" si="86"/>
        <v>5256.2360596196686</v>
      </c>
      <c r="E143" s="30">
        <f t="shared" si="86"/>
        <v>7631.2849015265756</v>
      </c>
      <c r="F143" s="30">
        <f t="shared" si="86"/>
        <v>10175.046535368767</v>
      </c>
      <c r="G143" s="30">
        <f t="shared" si="86"/>
        <v>12718.808169210957</v>
      </c>
      <c r="H143" s="30">
        <f t="shared" si="86"/>
        <v>15055.148209452691</v>
      </c>
      <c r="I143" s="30">
        <f t="shared" si="86"/>
        <v>17564.339577694809</v>
      </c>
      <c r="J143" s="30">
        <f t="shared" si="86"/>
        <v>20073.530945936927</v>
      </c>
      <c r="K143" s="30">
        <f t="shared" si="86"/>
        <v>22582.722314179035</v>
      </c>
      <c r="L143" s="25"/>
      <c r="M143" s="25"/>
      <c r="N143" s="21"/>
      <c r="O143" s="21"/>
      <c r="Q143" s="41"/>
      <c r="R143" s="41"/>
      <c r="S143" s="21"/>
      <c r="T143" s="21"/>
      <c r="U143" s="25"/>
      <c r="V143" s="25"/>
      <c r="W143" s="21"/>
      <c r="X143" s="21"/>
      <c r="Z143" s="41"/>
      <c r="AA143" s="4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</row>
    <row r="144" spans="1:45" s="12" customFormat="1">
      <c r="A144" s="29" t="s">
        <v>12</v>
      </c>
      <c r="B144" s="29"/>
      <c r="C144" s="31">
        <f t="shared" ref="C144:K144" si="87">SUM(C138:C143)</f>
        <v>6255.1143720133823</v>
      </c>
      <c r="D144" s="31">
        <f t="shared" si="87"/>
        <v>12510.228744026765</v>
      </c>
      <c r="E144" s="31">
        <f t="shared" si="87"/>
        <v>18512.27392813722</v>
      </c>
      <c r="F144" s="31">
        <f t="shared" si="87"/>
        <v>24683.031904182961</v>
      </c>
      <c r="G144" s="31">
        <f t="shared" si="87"/>
        <v>30853.789880228702</v>
      </c>
      <c r="H144" s="31">
        <f t="shared" si="87"/>
        <v>36817.126262673977</v>
      </c>
      <c r="I144" s="31">
        <f t="shared" si="87"/>
        <v>42953.31397311965</v>
      </c>
      <c r="J144" s="31">
        <f t="shared" si="87"/>
        <v>49089.501683565315</v>
      </c>
      <c r="K144" s="31">
        <f t="shared" si="87"/>
        <v>55225.689394010973</v>
      </c>
      <c r="L144" s="25"/>
      <c r="M144" s="25"/>
      <c r="N144" s="21"/>
      <c r="O144" s="21"/>
      <c r="P144" s="41"/>
      <c r="Q144" s="41"/>
      <c r="R144" s="41"/>
      <c r="S144" s="21"/>
      <c r="T144" s="21"/>
      <c r="U144" s="25"/>
      <c r="V144" s="25"/>
      <c r="W144" s="21"/>
      <c r="X144" s="21"/>
      <c r="Y144" s="41"/>
      <c r="Z144" s="41"/>
      <c r="AA144" s="4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</row>
    <row r="145" spans="1:45" s="12" customFormat="1">
      <c r="A145" s="29" t="s">
        <v>32</v>
      </c>
      <c r="B145" s="29"/>
      <c r="C145" s="46">
        <f t="shared" ref="C145:K145" si="88">(99.94-5.257*C88+0.1755*C88*C88-0.06767*$E$5-0.002662*C85*C88)/100*$H$5</f>
        <v>438150.0091512581</v>
      </c>
      <c r="D145" s="46">
        <f t="shared" si="88"/>
        <v>411932.70347451611</v>
      </c>
      <c r="E145" s="46">
        <f t="shared" si="88"/>
        <v>388703.62976732745</v>
      </c>
      <c r="F145" s="46">
        <f t="shared" si="88"/>
        <v>363482.40141376993</v>
      </c>
      <c r="G145" s="46">
        <f t="shared" si="88"/>
        <v>338261.17306021246</v>
      </c>
      <c r="H145" s="46">
        <f t="shared" si="88"/>
        <v>342529.84652114875</v>
      </c>
      <c r="I145" s="46">
        <f t="shared" si="88"/>
        <v>365030.6625811847</v>
      </c>
      <c r="J145" s="46">
        <f t="shared" si="88"/>
        <v>386889.68970492127</v>
      </c>
      <c r="K145" s="46">
        <f t="shared" si="88"/>
        <v>407022.42729132029</v>
      </c>
      <c r="L145" s="25"/>
      <c r="M145" s="25"/>
      <c r="N145" s="21"/>
      <c r="O145" s="21"/>
      <c r="P145" s="41"/>
      <c r="Q145" s="41"/>
      <c r="R145" s="41"/>
      <c r="S145" s="21"/>
      <c r="T145" s="21"/>
      <c r="U145" s="25"/>
      <c r="V145" s="25"/>
      <c r="W145" s="21"/>
      <c r="X145" s="21"/>
      <c r="Y145" s="41"/>
      <c r="Z145" s="41"/>
      <c r="AA145" s="4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</row>
    <row r="146" spans="1:45" s="12" customFormat="1">
      <c r="A146" s="29" t="s">
        <v>33</v>
      </c>
      <c r="B146" s="29"/>
      <c r="C146" s="31">
        <f t="shared" ref="C146:K146" si="89">$H$10*0.9^C90</f>
        <v>39090.490339490083</v>
      </c>
      <c r="D146" s="31">
        <f t="shared" si="89"/>
        <v>39090.490339490083</v>
      </c>
      <c r="E146" s="31">
        <f t="shared" si="89"/>
        <v>39090.490339490083</v>
      </c>
      <c r="F146" s="31">
        <f t="shared" si="89"/>
        <v>39090.490339490083</v>
      </c>
      <c r="G146" s="31">
        <f t="shared" si="89"/>
        <v>39090.490339490083</v>
      </c>
      <c r="H146" s="31">
        <f t="shared" si="89"/>
        <v>39090.490339490083</v>
      </c>
      <c r="I146" s="31">
        <f t="shared" si="89"/>
        <v>39090.490339490083</v>
      </c>
      <c r="J146" s="31">
        <f t="shared" si="89"/>
        <v>39090.490339490083</v>
      </c>
      <c r="K146" s="31">
        <f t="shared" si="89"/>
        <v>39090.490339490083</v>
      </c>
      <c r="L146" s="25"/>
      <c r="M146" s="25"/>
      <c r="N146" s="21"/>
      <c r="O146" s="21"/>
      <c r="P146" s="41"/>
      <c r="Q146" s="41"/>
      <c r="R146" s="41"/>
      <c r="S146" s="21"/>
      <c r="T146" s="21"/>
      <c r="U146" s="25"/>
      <c r="V146" s="25"/>
      <c r="W146" s="21"/>
      <c r="X146" s="21"/>
      <c r="Y146" s="41"/>
      <c r="Z146" s="41"/>
      <c r="AA146" s="4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</row>
    <row r="147" spans="1:45" s="12" customFormat="1">
      <c r="A147" s="29" t="s">
        <v>63</v>
      </c>
      <c r="B147" s="29"/>
      <c r="C147" s="31">
        <f t="shared" ref="C147:K147" si="90">+(($H$5-C145)/C88+($H$5+C145)/2*$D$21)/C85*(C84-C78*$D$19)</f>
        <v>15773.32329477963</v>
      </c>
      <c r="D147" s="31">
        <f t="shared" si="90"/>
        <v>19732.80458486838</v>
      </c>
      <c r="E147" s="31">
        <f t="shared" si="90"/>
        <v>21747.437211285662</v>
      </c>
      <c r="F147" s="31">
        <f t="shared" si="90"/>
        <v>23185.249860106276</v>
      </c>
      <c r="G147" s="31">
        <f t="shared" si="90"/>
        <v>24315.613960130737</v>
      </c>
      <c r="H147" s="31">
        <f t="shared" si="90"/>
        <v>26271.303547771382</v>
      </c>
      <c r="I147" s="31">
        <f t="shared" si="90"/>
        <v>28716.335595792018</v>
      </c>
      <c r="J147" s="31">
        <f t="shared" si="90"/>
        <v>30933.756099097194</v>
      </c>
      <c r="K147" s="31">
        <f t="shared" si="90"/>
        <v>32981.982315003297</v>
      </c>
      <c r="L147" s="25"/>
      <c r="M147" s="25"/>
      <c r="N147" s="21"/>
      <c r="O147" s="21"/>
      <c r="P147" s="41"/>
      <c r="Q147" s="41"/>
      <c r="R147" s="41"/>
      <c r="S147" s="21"/>
      <c r="T147" s="21"/>
      <c r="U147" s="25"/>
      <c r="V147" s="25"/>
      <c r="W147" s="21"/>
      <c r="X147" s="21"/>
      <c r="Y147" s="41"/>
      <c r="Z147" s="41"/>
      <c r="AA147" s="4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</row>
    <row r="148" spans="1:45" s="12" customFormat="1">
      <c r="A148" s="29" t="s">
        <v>26</v>
      </c>
      <c r="B148" s="29"/>
      <c r="C148" s="31">
        <f t="shared" ref="C148:K148" si="91">+($H$11-C146)/C90+($H$11+C146)/2*$D$21</f>
        <v>110160.46378415712</v>
      </c>
      <c r="D148" s="31">
        <f t="shared" si="91"/>
        <v>110160.46378415712</v>
      </c>
      <c r="E148" s="31">
        <f t="shared" si="91"/>
        <v>110160.46378415712</v>
      </c>
      <c r="F148" s="31">
        <f t="shared" si="91"/>
        <v>110160.46378415712</v>
      </c>
      <c r="G148" s="31">
        <f t="shared" si="91"/>
        <v>110160.46378415712</v>
      </c>
      <c r="H148" s="31">
        <f t="shared" si="91"/>
        <v>110160.46378415712</v>
      </c>
      <c r="I148" s="31">
        <f t="shared" si="91"/>
        <v>110160.46378415712</v>
      </c>
      <c r="J148" s="31">
        <f t="shared" si="91"/>
        <v>110160.46378415712</v>
      </c>
      <c r="K148" s="31">
        <f t="shared" si="91"/>
        <v>110160.46378415712</v>
      </c>
      <c r="L148" s="25"/>
      <c r="M148" s="25"/>
      <c r="N148" s="21"/>
      <c r="O148" s="21"/>
      <c r="P148" s="41"/>
      <c r="Q148" s="41"/>
      <c r="R148" s="41"/>
      <c r="S148" s="21"/>
      <c r="T148" s="21"/>
      <c r="U148" s="25"/>
      <c r="V148" s="25"/>
      <c r="W148" s="21"/>
      <c r="X148" s="21"/>
      <c r="Y148" s="41"/>
      <c r="Z148" s="41"/>
      <c r="AA148" s="4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</row>
    <row r="149" spans="1:45" s="12" customFormat="1">
      <c r="A149" s="27" t="s">
        <v>99</v>
      </c>
      <c r="B149" s="27"/>
      <c r="C149" s="30">
        <f t="shared" ref="C149:K149" si="92">+(C84-C78*$D$19)*$D$15</f>
        <v>8217.7780766141695</v>
      </c>
      <c r="D149" s="30">
        <f t="shared" si="92"/>
        <v>16435.556153228339</v>
      </c>
      <c r="E149" s="30">
        <f t="shared" si="92"/>
        <v>23862.020293167563</v>
      </c>
      <c r="F149" s="30">
        <f t="shared" si="92"/>
        <v>31816.027057556748</v>
      </c>
      <c r="G149" s="30">
        <f t="shared" si="92"/>
        <v>39770.03382194593</v>
      </c>
      <c r="H149" s="30">
        <f t="shared" si="92"/>
        <v>47075.460649980596</v>
      </c>
      <c r="I149" s="30">
        <f t="shared" si="92"/>
        <v>54921.37075831071</v>
      </c>
      <c r="J149" s="30">
        <f t="shared" si="92"/>
        <v>62767.280866640816</v>
      </c>
      <c r="K149" s="30">
        <f t="shared" si="92"/>
        <v>70613.190974970887</v>
      </c>
      <c r="L149" s="25"/>
      <c r="M149" s="25"/>
      <c r="N149" s="21"/>
      <c r="O149" s="21"/>
      <c r="P149" s="41"/>
      <c r="Q149" s="41"/>
      <c r="R149" s="41"/>
      <c r="S149" s="21"/>
      <c r="T149" s="21"/>
      <c r="U149" s="25"/>
      <c r="V149" s="25"/>
      <c r="W149" s="21"/>
      <c r="X149" s="21"/>
      <c r="Y149" s="41"/>
      <c r="Z149" s="41"/>
      <c r="AA149" s="4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</row>
    <row r="150" spans="1:45" s="12" customFormat="1">
      <c r="A150" s="27" t="s">
        <v>100</v>
      </c>
      <c r="B150" s="27"/>
      <c r="C150" s="30">
        <f t="shared" ref="C150:K150" si="93">+(C84-C78*$D$19)*$D$16*(0.00008+0.127)*$D$5</f>
        <v>3213.2776553111648</v>
      </c>
      <c r="D150" s="30">
        <f t="shared" si="93"/>
        <v>6426.5553106223297</v>
      </c>
      <c r="E150" s="30">
        <f t="shared" si="93"/>
        <v>9330.4170426330274</v>
      </c>
      <c r="F150" s="30">
        <f t="shared" si="93"/>
        <v>12440.556056844036</v>
      </c>
      <c r="G150" s="30">
        <f t="shared" si="93"/>
        <v>15550.695071055043</v>
      </c>
      <c r="H150" s="30">
        <f t="shared" si="93"/>
        <v>18407.229351998569</v>
      </c>
      <c r="I150" s="30">
        <f t="shared" si="93"/>
        <v>21475.100910664994</v>
      </c>
      <c r="J150" s="30">
        <f t="shared" si="93"/>
        <v>24542.972469331431</v>
      </c>
      <c r="K150" s="30">
        <f t="shared" si="93"/>
        <v>27610.844027997849</v>
      </c>
      <c r="L150" s="25"/>
      <c r="M150" s="25"/>
      <c r="N150" s="21"/>
      <c r="O150" s="21"/>
      <c r="P150" s="41"/>
      <c r="Q150" s="41"/>
      <c r="R150" s="41"/>
      <c r="S150" s="21"/>
      <c r="T150" s="21"/>
      <c r="U150" s="25"/>
      <c r="V150" s="25"/>
      <c r="W150" s="21"/>
      <c r="X150" s="21"/>
      <c r="Y150" s="41"/>
      <c r="Z150" s="41"/>
      <c r="AA150" s="4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</row>
    <row r="151" spans="1:45" s="12" customFormat="1">
      <c r="A151" s="29" t="s">
        <v>13</v>
      </c>
      <c r="B151" s="29"/>
      <c r="C151" s="49">
        <f t="shared" ref="C151:K151" si="94">C91/100*$D$23*$D$17*C136</f>
        <v>45844.458323687002</v>
      </c>
      <c r="D151" s="49">
        <f t="shared" si="94"/>
        <v>108580.69629267593</v>
      </c>
      <c r="E151" s="49">
        <f t="shared" si="94"/>
        <v>186504.0783988719</v>
      </c>
      <c r="F151" s="49">
        <f t="shared" si="94"/>
        <v>284067.68881715735</v>
      </c>
      <c r="G151" s="49">
        <f t="shared" si="94"/>
        <v>400751.49137810658</v>
      </c>
      <c r="H151" s="49">
        <f t="shared" si="94"/>
        <v>533969.31363759795</v>
      </c>
      <c r="I151" s="49">
        <f t="shared" si="94"/>
        <v>690381.91888434265</v>
      </c>
      <c r="J151" s="49">
        <f t="shared" si="94"/>
        <v>868332.56974265166</v>
      </c>
      <c r="K151" s="49">
        <f t="shared" si="94"/>
        <v>1068674.7062125262</v>
      </c>
      <c r="L151" s="25"/>
      <c r="M151" s="25"/>
      <c r="N151" s="31"/>
      <c r="O151" s="21"/>
      <c r="P151" s="41"/>
      <c r="Q151" s="41"/>
      <c r="R151" s="41"/>
      <c r="S151" s="21"/>
      <c r="T151" s="21"/>
      <c r="U151" s="25"/>
      <c r="V151" s="25"/>
      <c r="W151" s="21"/>
      <c r="X151" s="21"/>
      <c r="Y151" s="41"/>
      <c r="Z151" s="41"/>
      <c r="AA151" s="4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</row>
    <row r="152" spans="1:45" s="12" customFormat="1">
      <c r="A152" s="54" t="s">
        <v>38</v>
      </c>
      <c r="B152" s="54"/>
      <c r="C152" s="33">
        <f>+C136*$D$23*$E$13/100</f>
        <v>0</v>
      </c>
      <c r="D152" s="33">
        <f t="shared" ref="D152:K152" si="95">+D136*$D$23*$E$13/100</f>
        <v>0</v>
      </c>
      <c r="E152" s="33">
        <f t="shared" si="95"/>
        <v>0</v>
      </c>
      <c r="F152" s="33">
        <f t="shared" si="95"/>
        <v>0</v>
      </c>
      <c r="G152" s="33">
        <f t="shared" si="95"/>
        <v>0</v>
      </c>
      <c r="H152" s="33">
        <f t="shared" si="95"/>
        <v>0</v>
      </c>
      <c r="I152" s="33">
        <f t="shared" si="95"/>
        <v>0</v>
      </c>
      <c r="J152" s="33">
        <f t="shared" si="95"/>
        <v>0</v>
      </c>
      <c r="K152" s="33">
        <f t="shared" si="95"/>
        <v>0</v>
      </c>
      <c r="L152" s="25"/>
      <c r="M152" s="25"/>
      <c r="N152" s="56"/>
      <c r="O152" s="21"/>
      <c r="P152" s="41"/>
      <c r="Q152" s="41"/>
      <c r="R152" s="41"/>
      <c r="S152" s="21"/>
      <c r="T152" s="21"/>
      <c r="U152" s="25"/>
      <c r="V152" s="25"/>
      <c r="W152" s="21"/>
      <c r="X152" s="21"/>
      <c r="Y152" s="41"/>
      <c r="Z152" s="41"/>
      <c r="AA152" s="4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</row>
    <row r="153" spans="1:45" s="12" customFormat="1">
      <c r="A153" s="54" t="s">
        <v>76</v>
      </c>
      <c r="B153" s="54"/>
      <c r="C153" s="33">
        <f t="shared" ref="C153:K153" si="96">+C147+C148+C150+C144</f>
        <v>135402.17910626129</v>
      </c>
      <c r="D153" s="33">
        <f t="shared" si="96"/>
        <v>148830.05242367461</v>
      </c>
      <c r="E153" s="33">
        <f t="shared" si="96"/>
        <v>159750.59196621302</v>
      </c>
      <c r="F153" s="33">
        <f t="shared" si="96"/>
        <v>170469.30160529038</v>
      </c>
      <c r="G153" s="33">
        <f t="shared" si="96"/>
        <v>180880.56269557157</v>
      </c>
      <c r="H153" s="33">
        <f t="shared" si="96"/>
        <v>191656.12294660107</v>
      </c>
      <c r="I153" s="33">
        <f t="shared" si="96"/>
        <v>203305.2142637338</v>
      </c>
      <c r="J153" s="33">
        <f t="shared" si="96"/>
        <v>214726.69403615108</v>
      </c>
      <c r="K153" s="33">
        <f t="shared" si="96"/>
        <v>225978.97952116921</v>
      </c>
      <c r="L153" s="56"/>
      <c r="M153" s="56"/>
      <c r="N153" s="56"/>
      <c r="O153" s="21"/>
      <c r="Q153" s="41"/>
      <c r="R153" s="41"/>
      <c r="S153" s="21"/>
      <c r="T153" s="21"/>
      <c r="U153" s="25"/>
      <c r="V153" s="25"/>
      <c r="W153" s="31"/>
      <c r="X153" s="21"/>
      <c r="Z153" s="41"/>
      <c r="AA153" s="4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</row>
    <row r="154" spans="1:45" s="58" customFormat="1">
      <c r="A154" s="55" t="s">
        <v>28</v>
      </c>
      <c r="B154" s="55" t="s">
        <v>95</v>
      </c>
      <c r="C154" s="52">
        <f t="shared" ref="C154:K154" si="97">C144+C147+C148+C149+C150+C151+C152</f>
        <v>189464.41550656245</v>
      </c>
      <c r="D154" s="52">
        <f t="shared" si="97"/>
        <v>273846.30486957886</v>
      </c>
      <c r="E154" s="52">
        <f t="shared" si="97"/>
        <v>370116.69065825251</v>
      </c>
      <c r="F154" s="52">
        <f t="shared" si="97"/>
        <v>486353.01748000452</v>
      </c>
      <c r="G154" s="52">
        <f t="shared" si="97"/>
        <v>621402.08789562411</v>
      </c>
      <c r="H154" s="52">
        <f t="shared" si="97"/>
        <v>772700.89723417955</v>
      </c>
      <c r="I154" s="52">
        <f t="shared" si="97"/>
        <v>948608.50390638714</v>
      </c>
      <c r="J154" s="52">
        <f t="shared" si="97"/>
        <v>1145826.5446454436</v>
      </c>
      <c r="K154" s="52">
        <f t="shared" si="97"/>
        <v>1365266.8767086663</v>
      </c>
      <c r="L154" s="21"/>
      <c r="M154" s="34"/>
      <c r="N154" s="34"/>
      <c r="O154" s="56"/>
      <c r="P154" s="57"/>
      <c r="Q154" s="57"/>
      <c r="R154" s="57"/>
      <c r="S154" s="56"/>
      <c r="T154" s="56"/>
      <c r="U154" s="25"/>
      <c r="V154" s="25"/>
      <c r="W154" s="56"/>
      <c r="X154" s="56"/>
      <c r="Y154" s="57"/>
      <c r="Z154" s="57"/>
      <c r="AA154" s="57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</row>
    <row r="155" spans="1:45" s="58" customFormat="1">
      <c r="A155" s="55"/>
      <c r="B155" s="55"/>
      <c r="C155" s="53"/>
      <c r="D155" s="53"/>
      <c r="E155" s="53"/>
      <c r="F155" s="53"/>
      <c r="G155" s="53"/>
      <c r="H155" s="53"/>
      <c r="I155" s="53"/>
      <c r="J155" s="53"/>
      <c r="K155" s="53"/>
      <c r="L155" s="5"/>
      <c r="M155" s="24"/>
      <c r="N155" s="24"/>
      <c r="O155" s="56"/>
      <c r="P155" s="57"/>
      <c r="Q155" s="57"/>
      <c r="R155" s="57"/>
      <c r="S155" s="56"/>
      <c r="T155" s="56"/>
      <c r="U155" s="56"/>
      <c r="V155" s="56"/>
      <c r="W155" s="56"/>
      <c r="X155" s="56"/>
      <c r="Y155" s="57"/>
      <c r="Z155" s="57"/>
      <c r="AA155" s="57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</row>
    <row r="156" spans="1:45" s="12" customFormat="1">
      <c r="A156" s="29" t="s">
        <v>4</v>
      </c>
      <c r="B156" s="29"/>
      <c r="C156" s="31">
        <v>200</v>
      </c>
      <c r="D156" s="31">
        <v>400</v>
      </c>
      <c r="E156" s="31">
        <v>600</v>
      </c>
      <c r="F156" s="31">
        <v>800</v>
      </c>
      <c r="G156" s="31">
        <v>1000</v>
      </c>
      <c r="H156" s="31">
        <v>1200</v>
      </c>
      <c r="I156" s="31">
        <v>1400</v>
      </c>
      <c r="J156" s="31">
        <v>1600</v>
      </c>
      <c r="K156" s="31">
        <v>1800</v>
      </c>
      <c r="L156" s="25"/>
      <c r="M156" s="34"/>
      <c r="N156" s="34"/>
      <c r="O156" s="34"/>
      <c r="P156" s="31"/>
      <c r="Q156" s="31"/>
      <c r="R156" s="31"/>
      <c r="S156" s="34"/>
      <c r="T156" s="34"/>
      <c r="U156" s="21"/>
      <c r="V156" s="34"/>
      <c r="W156" s="34"/>
      <c r="X156" s="34"/>
      <c r="Y156" s="31"/>
      <c r="Z156" s="31"/>
      <c r="AA156" s="31"/>
      <c r="AB156" s="34"/>
      <c r="AC156" s="34"/>
      <c r="AD156" s="34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</row>
    <row r="157" spans="1:45">
      <c r="L157" s="25"/>
      <c r="M157" s="34"/>
      <c r="N157" s="34"/>
      <c r="O157" s="24"/>
      <c r="P157" s="24"/>
      <c r="Q157" s="24"/>
      <c r="R157" s="24"/>
      <c r="S157" s="24"/>
      <c r="T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45" s="12" customFormat="1">
      <c r="A158" s="27" t="s">
        <v>81</v>
      </c>
      <c r="B158" s="27"/>
      <c r="C158" s="30">
        <f t="shared" ref="C158:K158" si="98">IF($F$6=0,0,0.71*$I$6/1000*C156/$F$6/$C$6)</f>
        <v>0</v>
      </c>
      <c r="D158" s="30">
        <f t="shared" si="98"/>
        <v>0</v>
      </c>
      <c r="E158" s="30">
        <f t="shared" si="98"/>
        <v>0</v>
      </c>
      <c r="F158" s="30">
        <f t="shared" si="98"/>
        <v>0</v>
      </c>
      <c r="G158" s="30">
        <f t="shared" si="98"/>
        <v>0</v>
      </c>
      <c r="H158" s="30">
        <f t="shared" si="98"/>
        <v>0</v>
      </c>
      <c r="I158" s="30">
        <f t="shared" si="98"/>
        <v>0</v>
      </c>
      <c r="J158" s="30">
        <f t="shared" si="98"/>
        <v>0</v>
      </c>
      <c r="K158" s="30">
        <f t="shared" si="98"/>
        <v>0</v>
      </c>
      <c r="L158" s="25"/>
      <c r="M158" s="34"/>
      <c r="N158" s="34"/>
      <c r="O158" s="34"/>
      <c r="P158" s="31"/>
      <c r="Q158" s="31"/>
      <c r="R158" s="31"/>
      <c r="S158" s="34"/>
      <c r="T158" s="34"/>
      <c r="U158" s="25"/>
      <c r="V158" s="34"/>
      <c r="W158" s="34"/>
      <c r="X158" s="34"/>
      <c r="Y158" s="31"/>
      <c r="Z158" s="31"/>
      <c r="AA158" s="31"/>
      <c r="AB158" s="34"/>
      <c r="AC158" s="34"/>
      <c r="AD158" s="34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</row>
    <row r="159" spans="1:45" s="12" customFormat="1">
      <c r="A159" s="27" t="s">
        <v>82</v>
      </c>
      <c r="B159" s="27"/>
      <c r="C159" s="30">
        <f t="shared" ref="C159:K159" si="99">IF($F$7=0,0,0.5*$I$7/1000*C156/$F$7/$C$7)</f>
        <v>0</v>
      </c>
      <c r="D159" s="30">
        <f t="shared" si="99"/>
        <v>0</v>
      </c>
      <c r="E159" s="30">
        <f t="shared" si="99"/>
        <v>0</v>
      </c>
      <c r="F159" s="30">
        <f t="shared" si="99"/>
        <v>0</v>
      </c>
      <c r="G159" s="30">
        <f t="shared" si="99"/>
        <v>0</v>
      </c>
      <c r="H159" s="30">
        <f t="shared" si="99"/>
        <v>0</v>
      </c>
      <c r="I159" s="30">
        <f t="shared" si="99"/>
        <v>0</v>
      </c>
      <c r="J159" s="30">
        <f t="shared" si="99"/>
        <v>0</v>
      </c>
      <c r="K159" s="30">
        <f t="shared" si="99"/>
        <v>0</v>
      </c>
      <c r="L159" s="25"/>
      <c r="M159" s="34"/>
      <c r="N159" s="34"/>
      <c r="O159" s="34"/>
      <c r="P159" s="31"/>
      <c r="Q159" s="31"/>
      <c r="R159" s="31"/>
      <c r="S159" s="34"/>
      <c r="T159" s="34"/>
      <c r="U159" s="25"/>
      <c r="V159" s="34"/>
      <c r="W159" s="34"/>
      <c r="X159" s="34"/>
      <c r="Y159" s="31"/>
      <c r="Z159" s="31"/>
      <c r="AA159" s="31"/>
      <c r="AB159" s="34"/>
      <c r="AC159" s="34"/>
      <c r="AD159" s="34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</row>
    <row r="160" spans="1:45" s="12" customFormat="1">
      <c r="A160" s="27" t="s">
        <v>83</v>
      </c>
      <c r="B160" s="27"/>
      <c r="C160" s="30">
        <f t="shared" ref="C160:K160" si="100">IF($F$8=0,0,0.8*$I$8/1000*C156/$F$8/$C$8)</f>
        <v>610.02039215686284</v>
      </c>
      <c r="D160" s="30">
        <f t="shared" si="100"/>
        <v>1220.0407843137257</v>
      </c>
      <c r="E160" s="30">
        <f t="shared" si="100"/>
        <v>1830.0611764705884</v>
      </c>
      <c r="F160" s="30">
        <f t="shared" si="100"/>
        <v>2440.0815686274514</v>
      </c>
      <c r="G160" s="30">
        <f t="shared" si="100"/>
        <v>3050.1019607843141</v>
      </c>
      <c r="H160" s="30">
        <f t="shared" si="100"/>
        <v>3660.1223529411768</v>
      </c>
      <c r="I160" s="30">
        <f t="shared" si="100"/>
        <v>4270.14274509804</v>
      </c>
      <c r="J160" s="30">
        <f t="shared" si="100"/>
        <v>4880.1631372549027</v>
      </c>
      <c r="K160" s="30">
        <f t="shared" si="100"/>
        <v>5490.1835294117654</v>
      </c>
      <c r="L160" s="25"/>
      <c r="M160" s="34"/>
      <c r="N160" s="34"/>
      <c r="O160" s="34"/>
      <c r="P160" s="31"/>
      <c r="Q160" s="31"/>
      <c r="R160" s="31"/>
      <c r="S160" s="34"/>
      <c r="T160" s="34"/>
      <c r="U160" s="25"/>
      <c r="V160" s="34"/>
      <c r="W160" s="34"/>
      <c r="X160" s="34"/>
      <c r="Y160" s="31"/>
      <c r="Z160" s="31"/>
      <c r="AA160" s="31"/>
      <c r="AB160" s="34"/>
      <c r="AC160" s="34"/>
      <c r="AD160" s="34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</row>
    <row r="161" spans="1:45" s="12" customFormat="1">
      <c r="A161" s="27" t="s">
        <v>84</v>
      </c>
      <c r="B161" s="27"/>
      <c r="C161" s="30">
        <f t="shared" ref="C161:K161" si="101">IF($E$9=0,0,0.55*$I$9/1000*C156/$F$9/$C$9)</f>
        <v>2838.0509259259256</v>
      </c>
      <c r="D161" s="30">
        <f t="shared" si="101"/>
        <v>5676.1018518518513</v>
      </c>
      <c r="E161" s="30">
        <f t="shared" si="101"/>
        <v>8514.1527777777792</v>
      </c>
      <c r="F161" s="30">
        <f t="shared" si="101"/>
        <v>11352.203703703703</v>
      </c>
      <c r="G161" s="30">
        <f t="shared" si="101"/>
        <v>14190.254629629633</v>
      </c>
      <c r="H161" s="30">
        <f t="shared" si="101"/>
        <v>17028.305555555558</v>
      </c>
      <c r="I161" s="30">
        <f t="shared" si="101"/>
        <v>19866.356481481482</v>
      </c>
      <c r="J161" s="30">
        <f t="shared" si="101"/>
        <v>22704.407407407405</v>
      </c>
      <c r="K161" s="30">
        <f t="shared" si="101"/>
        <v>25542.458333333332</v>
      </c>
      <c r="L161" s="25"/>
      <c r="M161" s="34"/>
      <c r="N161" s="34"/>
      <c r="O161" s="34"/>
      <c r="P161" s="31"/>
      <c r="Q161" s="31"/>
      <c r="R161" s="31"/>
      <c r="S161" s="34"/>
      <c r="T161" s="34"/>
      <c r="U161" s="25"/>
      <c r="V161" s="34"/>
      <c r="W161" s="34"/>
      <c r="X161" s="34"/>
      <c r="Y161" s="31"/>
      <c r="Z161" s="31"/>
      <c r="AA161" s="31"/>
      <c r="AB161" s="34"/>
      <c r="AC161" s="34"/>
      <c r="AD161" s="34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</row>
    <row r="162" spans="1:45" s="12" customFormat="1">
      <c r="A162" s="27" t="s">
        <v>85</v>
      </c>
      <c r="B162" s="27"/>
      <c r="C162" s="30">
        <f>IF($F$10=0,0,0.48*$I$10/1000*C156/$F$10/$C$10)</f>
        <v>346.57219047619043</v>
      </c>
      <c r="D162" s="30">
        <f t="shared" ref="D162:K162" si="102">IF($F$10=0,0,0.48*$I$10/1000*D156/$F$10/$C$10)</f>
        <v>693.14438095238086</v>
      </c>
      <c r="E162" s="30">
        <f t="shared" si="102"/>
        <v>1039.7165714285713</v>
      </c>
      <c r="F162" s="30">
        <f t="shared" si="102"/>
        <v>1386.2887619047617</v>
      </c>
      <c r="G162" s="30">
        <f t="shared" si="102"/>
        <v>1732.8609523809521</v>
      </c>
      <c r="H162" s="30">
        <f t="shared" si="102"/>
        <v>2079.4331428571427</v>
      </c>
      <c r="I162" s="30">
        <f t="shared" si="102"/>
        <v>2426.0053333333331</v>
      </c>
      <c r="J162" s="30">
        <f t="shared" si="102"/>
        <v>2772.5775238095234</v>
      </c>
      <c r="K162" s="30">
        <f t="shared" si="102"/>
        <v>3119.1497142857147</v>
      </c>
      <c r="L162" s="25"/>
      <c r="M162" s="34"/>
      <c r="N162" s="34"/>
      <c r="O162" s="34"/>
      <c r="P162" s="31"/>
      <c r="Q162" s="31"/>
      <c r="R162" s="31"/>
      <c r="S162" s="34"/>
      <c r="T162" s="34"/>
      <c r="U162" s="25"/>
      <c r="V162" s="34"/>
      <c r="W162" s="34"/>
      <c r="X162" s="34"/>
      <c r="Y162" s="31"/>
      <c r="Z162" s="31"/>
      <c r="AA162" s="31"/>
      <c r="AB162" s="34"/>
      <c r="AC162" s="34"/>
      <c r="AD162" s="34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</row>
    <row r="163" spans="1:45" s="12" customFormat="1">
      <c r="A163" s="27" t="s">
        <v>98</v>
      </c>
      <c r="B163" s="27"/>
      <c r="C163" s="30">
        <f t="shared" ref="C163:K163" si="103">0.089*$I$5/1000*(C104-C98*$D$19)</f>
        <v>3646.5692992924514</v>
      </c>
      <c r="D163" s="30">
        <f t="shared" si="103"/>
        <v>7293.1385985849029</v>
      </c>
      <c r="E163" s="30">
        <f t="shared" si="103"/>
        <v>10494.8236461779</v>
      </c>
      <c r="F163" s="30">
        <f t="shared" si="103"/>
        <v>13993.098194903867</v>
      </c>
      <c r="G163" s="30">
        <f t="shared" si="103"/>
        <v>17491.372743629832</v>
      </c>
      <c r="H163" s="30">
        <f t="shared" si="103"/>
        <v>20625.01293971081</v>
      </c>
      <c r="I163" s="30">
        <f t="shared" si="103"/>
        <v>24062.51509632928</v>
      </c>
      <c r="J163" s="30">
        <f t="shared" si="103"/>
        <v>27500.017252947753</v>
      </c>
      <c r="K163" s="30">
        <f t="shared" si="103"/>
        <v>30937.519409566215</v>
      </c>
      <c r="L163" s="46"/>
      <c r="M163" s="34"/>
      <c r="N163" s="34"/>
      <c r="O163" s="34"/>
      <c r="P163" s="31"/>
      <c r="Q163" s="31"/>
      <c r="R163" s="31"/>
      <c r="S163" s="34"/>
      <c r="T163" s="34"/>
      <c r="U163" s="25"/>
      <c r="V163" s="34"/>
      <c r="W163" s="34"/>
      <c r="X163" s="34"/>
      <c r="Y163" s="31"/>
      <c r="Z163" s="31"/>
      <c r="AA163" s="31"/>
      <c r="AB163" s="34"/>
      <c r="AC163" s="34"/>
      <c r="AD163" s="34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</row>
    <row r="164" spans="1:45" s="12" customFormat="1">
      <c r="A164" s="29" t="s">
        <v>12</v>
      </c>
      <c r="B164" s="29"/>
      <c r="C164" s="31">
        <f t="shared" ref="C164:K164" si="104">SUM(C158:C163)</f>
        <v>7441.2128078514306</v>
      </c>
      <c r="D164" s="31">
        <f t="shared" si="104"/>
        <v>14882.425615702861</v>
      </c>
      <c r="E164" s="31">
        <f t="shared" si="104"/>
        <v>21878.754171854838</v>
      </c>
      <c r="F164" s="31">
        <f t="shared" si="104"/>
        <v>29171.672229139782</v>
      </c>
      <c r="G164" s="31">
        <f t="shared" si="104"/>
        <v>36464.590286424733</v>
      </c>
      <c r="H164" s="31">
        <f t="shared" si="104"/>
        <v>43392.873991064684</v>
      </c>
      <c r="I164" s="31">
        <f t="shared" si="104"/>
        <v>50625.019656242133</v>
      </c>
      <c r="J164" s="31">
        <f t="shared" si="104"/>
        <v>57857.165321419583</v>
      </c>
      <c r="K164" s="31">
        <f t="shared" si="104"/>
        <v>65089.310986597025</v>
      </c>
      <c r="L164" s="25"/>
      <c r="M164" s="34"/>
      <c r="N164" s="34"/>
      <c r="O164" s="34"/>
      <c r="P164" s="31"/>
      <c r="Q164" s="31"/>
      <c r="R164" s="31"/>
      <c r="S164" s="34"/>
      <c r="T164" s="34"/>
      <c r="U164" s="25"/>
      <c r="V164" s="34"/>
      <c r="W164" s="34"/>
      <c r="X164" s="34"/>
      <c r="Y164" s="31"/>
      <c r="Z164" s="31"/>
      <c r="AA164" s="31"/>
      <c r="AB164" s="34"/>
      <c r="AC164" s="34"/>
      <c r="AD164" s="34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</row>
    <row r="165" spans="1:45" s="12" customFormat="1">
      <c r="A165" s="29" t="s">
        <v>32</v>
      </c>
      <c r="B165" s="29"/>
      <c r="C165" s="46">
        <f t="shared" ref="C165:K165" si="105">(99.94-5.257*C108+0.1755*C108*C108-0.06767*$F$5-0.002662*C105*C108)/100*$I$5</f>
        <v>592046.19560635311</v>
      </c>
      <c r="D165" s="46">
        <f t="shared" si="105"/>
        <v>559050.20911270624</v>
      </c>
      <c r="E165" s="46">
        <f t="shared" si="105"/>
        <v>529745.52317104465</v>
      </c>
      <c r="F165" s="46">
        <f t="shared" si="105"/>
        <v>497979.97019472613</v>
      </c>
      <c r="G165" s="46">
        <f t="shared" si="105"/>
        <v>466214.41721840762</v>
      </c>
      <c r="H165" s="46">
        <f t="shared" si="105"/>
        <v>437286.61145508342</v>
      </c>
      <c r="I165" s="46">
        <f t="shared" si="105"/>
        <v>435633.6780684769</v>
      </c>
      <c r="J165" s="46">
        <f t="shared" si="105"/>
        <v>463763.52076929843</v>
      </c>
      <c r="K165" s="46">
        <f t="shared" si="105"/>
        <v>491923.71417142497</v>
      </c>
      <c r="L165" s="25"/>
      <c r="M165" s="34"/>
      <c r="N165" s="34"/>
      <c r="O165" s="34"/>
      <c r="P165" s="31"/>
      <c r="Q165" s="31"/>
      <c r="R165" s="31"/>
      <c r="S165" s="34"/>
      <c r="T165" s="34"/>
      <c r="U165" s="46"/>
      <c r="V165" s="34"/>
      <c r="W165" s="34"/>
      <c r="X165" s="34"/>
      <c r="Y165" s="31"/>
      <c r="Z165" s="31"/>
      <c r="AA165" s="31"/>
      <c r="AB165" s="34"/>
      <c r="AC165" s="34"/>
      <c r="AD165" s="34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</row>
    <row r="166" spans="1:45" s="12" customFormat="1">
      <c r="A166" s="29" t="s">
        <v>33</v>
      </c>
      <c r="B166" s="29"/>
      <c r="C166" s="31">
        <f t="shared" ref="C166:K166" si="106">$I$10*0.9^C110</f>
        <v>46827.467301342811</v>
      </c>
      <c r="D166" s="31">
        <f t="shared" si="106"/>
        <v>46827.467301342811</v>
      </c>
      <c r="E166" s="31">
        <f t="shared" si="106"/>
        <v>46827.467301342811</v>
      </c>
      <c r="F166" s="31">
        <f t="shared" si="106"/>
        <v>46827.467301342811</v>
      </c>
      <c r="G166" s="31">
        <f t="shared" si="106"/>
        <v>46827.467301342811</v>
      </c>
      <c r="H166" s="31">
        <f t="shared" si="106"/>
        <v>46827.467301342811</v>
      </c>
      <c r="I166" s="31">
        <f t="shared" si="106"/>
        <v>46827.467301342811</v>
      </c>
      <c r="J166" s="31">
        <f t="shared" si="106"/>
        <v>46827.467301342811</v>
      </c>
      <c r="K166" s="31">
        <f t="shared" si="106"/>
        <v>46827.467301342811</v>
      </c>
      <c r="L166" s="25"/>
      <c r="M166" s="34"/>
      <c r="N166" s="34"/>
      <c r="O166" s="34"/>
      <c r="P166" s="31"/>
      <c r="Q166" s="31"/>
      <c r="R166" s="31"/>
      <c r="S166" s="34"/>
      <c r="T166" s="34"/>
      <c r="U166" s="25"/>
      <c r="V166" s="34"/>
      <c r="W166" s="34"/>
      <c r="X166" s="34"/>
      <c r="Y166" s="31"/>
      <c r="Z166" s="31"/>
      <c r="AA166" s="31"/>
      <c r="AB166" s="34"/>
      <c r="AC166" s="34"/>
      <c r="AD166" s="34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</row>
    <row r="167" spans="1:45" s="12" customFormat="1">
      <c r="A167" s="29" t="s">
        <v>63</v>
      </c>
      <c r="B167" s="29"/>
      <c r="C167" s="31">
        <f t="shared" ref="C167:K167" si="107">+(($I$5-C165)/C108+($I$5+C165)/2*$D$21)/C105*(C104-C98*$D$19)</f>
        <v>25530.868495937677</v>
      </c>
      <c r="D167" s="31">
        <f t="shared" si="107"/>
        <v>32648.940041815011</v>
      </c>
      <c r="E167" s="31">
        <f t="shared" si="107"/>
        <v>35891.279515693161</v>
      </c>
      <c r="F167" s="31">
        <f t="shared" si="107"/>
        <v>38369.248204772251</v>
      </c>
      <c r="G167" s="31">
        <f t="shared" si="107"/>
        <v>40257.769180208081</v>
      </c>
      <c r="H167" s="31">
        <f t="shared" si="107"/>
        <v>41585.146402380386</v>
      </c>
      <c r="I167" s="31">
        <f t="shared" si="107"/>
        <v>44356.035249842171</v>
      </c>
      <c r="J167" s="31">
        <f t="shared" si="107"/>
        <v>48139.031030886996</v>
      </c>
      <c r="K167" s="31">
        <f t="shared" si="107"/>
        <v>51636.088734400444</v>
      </c>
      <c r="L167" s="25"/>
      <c r="M167" s="34"/>
      <c r="N167" s="34"/>
      <c r="O167" s="34"/>
      <c r="P167" s="31"/>
      <c r="Q167" s="31"/>
      <c r="R167" s="31"/>
      <c r="S167" s="34"/>
      <c r="T167" s="34"/>
      <c r="U167" s="25"/>
      <c r="V167" s="34"/>
      <c r="W167" s="34"/>
      <c r="X167" s="34"/>
      <c r="Y167" s="31"/>
      <c r="Z167" s="31"/>
      <c r="AA167" s="31"/>
      <c r="AB167" s="34"/>
      <c r="AC167" s="34"/>
      <c r="AD167" s="34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</row>
    <row r="168" spans="1:45" s="12" customFormat="1">
      <c r="A168" s="29" t="s">
        <v>26</v>
      </c>
      <c r="B168" s="29"/>
      <c r="C168" s="31">
        <f t="shared" ref="C168:K168" si="108">+($I$11-C166)/C110+($I$11+C166)/2*$D$21</f>
        <v>163549.89819260399</v>
      </c>
      <c r="D168" s="31">
        <f t="shared" si="108"/>
        <v>163549.89819260399</v>
      </c>
      <c r="E168" s="31">
        <f t="shared" si="108"/>
        <v>163549.89819260399</v>
      </c>
      <c r="F168" s="31">
        <f t="shared" si="108"/>
        <v>163549.89819260399</v>
      </c>
      <c r="G168" s="31">
        <f t="shared" si="108"/>
        <v>163549.89819260399</v>
      </c>
      <c r="H168" s="31">
        <f t="shared" si="108"/>
        <v>163549.89819260399</v>
      </c>
      <c r="I168" s="31">
        <f t="shared" si="108"/>
        <v>163549.89819260399</v>
      </c>
      <c r="J168" s="31">
        <f t="shared" si="108"/>
        <v>163549.89819260399</v>
      </c>
      <c r="K168" s="31">
        <f t="shared" si="108"/>
        <v>163549.89819260399</v>
      </c>
      <c r="L168" s="25"/>
      <c r="M168" s="34"/>
      <c r="N168" s="34"/>
      <c r="O168" s="34"/>
      <c r="P168" s="31"/>
      <c r="Q168" s="31"/>
      <c r="R168" s="31"/>
      <c r="S168" s="34"/>
      <c r="T168" s="34"/>
      <c r="U168" s="25"/>
      <c r="V168" s="34"/>
      <c r="W168" s="34"/>
      <c r="X168" s="34"/>
      <c r="Y168" s="31"/>
      <c r="Z168" s="31"/>
      <c r="AA168" s="31"/>
      <c r="AB168" s="34"/>
      <c r="AC168" s="34"/>
      <c r="AD168" s="34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</row>
    <row r="169" spans="1:45" s="12" customFormat="1">
      <c r="A169" s="27" t="s">
        <v>99</v>
      </c>
      <c r="B169" s="27"/>
      <c r="C169" s="30">
        <f t="shared" ref="C169:K169" si="109">+(C104-C98*$D$19)*$D$15</f>
        <v>7548.5609389871597</v>
      </c>
      <c r="D169" s="30">
        <f t="shared" si="109"/>
        <v>15097.121877974319</v>
      </c>
      <c r="E169" s="30">
        <f t="shared" si="109"/>
        <v>21724.752592105851</v>
      </c>
      <c r="F169" s="30">
        <f t="shared" si="109"/>
        <v>28966.336789474466</v>
      </c>
      <c r="G169" s="30">
        <f t="shared" si="109"/>
        <v>36207.920986843084</v>
      </c>
      <c r="H169" s="30">
        <f t="shared" si="109"/>
        <v>42694.695826297429</v>
      </c>
      <c r="I169" s="30">
        <f t="shared" si="109"/>
        <v>49810.478464013671</v>
      </c>
      <c r="J169" s="30">
        <f t="shared" si="109"/>
        <v>56926.261101729913</v>
      </c>
      <c r="K169" s="30">
        <f t="shared" si="109"/>
        <v>64042.043739446141</v>
      </c>
      <c r="L169" s="25"/>
      <c r="M169" s="34"/>
      <c r="N169" s="34"/>
      <c r="O169" s="34"/>
      <c r="P169" s="31"/>
      <c r="Q169" s="31"/>
      <c r="R169" s="31"/>
      <c r="S169" s="34"/>
      <c r="T169" s="34"/>
      <c r="U169" s="25"/>
      <c r="V169" s="34"/>
      <c r="W169" s="34"/>
      <c r="X169" s="34"/>
      <c r="Y169" s="31"/>
      <c r="Z169" s="31"/>
      <c r="AA169" s="31"/>
      <c r="AB169" s="34"/>
      <c r="AC169" s="34"/>
      <c r="AD169" s="34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</row>
    <row r="170" spans="1:45" s="12" customFormat="1">
      <c r="A170" s="27" t="s">
        <v>100</v>
      </c>
      <c r="B170" s="27"/>
      <c r="C170" s="30">
        <f t="shared" ref="C170:K170" si="110">+(C104-C98*$D$19)*$D$16*(0.00008+0.127)*$D$5</f>
        <v>2951.6034588507327</v>
      </c>
      <c r="D170" s="30">
        <f t="shared" si="110"/>
        <v>5903.2069177014655</v>
      </c>
      <c r="E170" s="30">
        <f t="shared" si="110"/>
        <v>8494.7124904763423</v>
      </c>
      <c r="F170" s="30">
        <f t="shared" si="110"/>
        <v>11326.283320635122</v>
      </c>
      <c r="G170" s="30">
        <f t="shared" si="110"/>
        <v>14157.854150793903</v>
      </c>
      <c r="H170" s="30">
        <f t="shared" si="110"/>
        <v>16694.282909556547</v>
      </c>
      <c r="I170" s="30">
        <f t="shared" si="110"/>
        <v>19476.663394482635</v>
      </c>
      <c r="J170" s="30">
        <f t="shared" si="110"/>
        <v>22259.043879408731</v>
      </c>
      <c r="K170" s="30">
        <f t="shared" si="110"/>
        <v>25041.424364334816</v>
      </c>
      <c r="L170" s="25"/>
      <c r="M170" s="34"/>
      <c r="N170" s="34"/>
      <c r="O170" s="34"/>
      <c r="P170" s="98"/>
      <c r="Q170" s="31"/>
      <c r="R170" s="31"/>
      <c r="S170" s="34"/>
      <c r="T170" s="34"/>
      <c r="U170" s="25"/>
      <c r="V170" s="34"/>
      <c r="W170" s="34"/>
      <c r="X170" s="34"/>
      <c r="Y170" s="98"/>
      <c r="Z170" s="31"/>
      <c r="AA170" s="31"/>
      <c r="AB170" s="34"/>
      <c r="AC170" s="34"/>
      <c r="AD170" s="34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</row>
    <row r="171" spans="1:45" s="12" customFormat="1">
      <c r="A171" s="29" t="s">
        <v>13</v>
      </c>
      <c r="B171" s="29"/>
      <c r="C171" s="49">
        <f t="shared" ref="C171:K171" si="111">C111/100*$D$23*$D$17*C156</f>
        <v>44499.140195409585</v>
      </c>
      <c r="D171" s="49">
        <f t="shared" si="111"/>
        <v>105002.74395124624</v>
      </c>
      <c r="E171" s="49">
        <f t="shared" si="111"/>
        <v>179055.74618136112</v>
      </c>
      <c r="F171" s="49">
        <f t="shared" si="111"/>
        <v>272101.98407830513</v>
      </c>
      <c r="G171" s="49">
        <f t="shared" si="111"/>
        <v>383251.11656016007</v>
      </c>
      <c r="H171" s="49">
        <f t="shared" si="111"/>
        <v>508748.81380682666</v>
      </c>
      <c r="I171" s="49">
        <f t="shared" si="111"/>
        <v>657193.30040252057</v>
      </c>
      <c r="J171" s="49">
        <f t="shared" si="111"/>
        <v>826100.20346332516</v>
      </c>
      <c r="K171" s="49">
        <f t="shared" si="111"/>
        <v>1016322.9629892412</v>
      </c>
      <c r="L171" s="25"/>
      <c r="M171" s="34"/>
      <c r="N171" s="31"/>
      <c r="O171" s="34"/>
      <c r="P171" s="98"/>
      <c r="Q171" s="31"/>
      <c r="R171" s="31"/>
      <c r="S171" s="34"/>
      <c r="T171" s="34"/>
      <c r="U171" s="25"/>
      <c r="V171" s="34"/>
      <c r="W171" s="34"/>
      <c r="X171" s="34"/>
      <c r="Y171" s="98"/>
      <c r="Z171" s="31"/>
      <c r="AA171" s="31"/>
      <c r="AB171" s="34"/>
      <c r="AC171" s="34"/>
      <c r="AD171" s="34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</row>
    <row r="172" spans="1:45" s="12" customFormat="1">
      <c r="A172" s="54" t="s">
        <v>38</v>
      </c>
      <c r="B172" s="54"/>
      <c r="C172" s="33">
        <f>+C156*$D$23*$F$13/100</f>
        <v>0</v>
      </c>
      <c r="D172" s="33">
        <f t="shared" ref="D172:K172" si="112">+D156*$D$23*$F$13/100</f>
        <v>0</v>
      </c>
      <c r="E172" s="33">
        <f t="shared" si="112"/>
        <v>0</v>
      </c>
      <c r="F172" s="33">
        <f t="shared" si="112"/>
        <v>0</v>
      </c>
      <c r="G172" s="33">
        <f t="shared" si="112"/>
        <v>0</v>
      </c>
      <c r="H172" s="33">
        <f t="shared" si="112"/>
        <v>0</v>
      </c>
      <c r="I172" s="33">
        <f t="shared" si="112"/>
        <v>0</v>
      </c>
      <c r="J172" s="33">
        <f t="shared" si="112"/>
        <v>0</v>
      </c>
      <c r="K172" s="33">
        <f t="shared" si="112"/>
        <v>0</v>
      </c>
      <c r="L172" s="25"/>
      <c r="M172" s="34"/>
      <c r="N172" s="99"/>
      <c r="O172" s="34"/>
      <c r="P172" s="98"/>
      <c r="Q172" s="31"/>
      <c r="R172" s="31"/>
      <c r="S172" s="34"/>
      <c r="T172" s="34"/>
      <c r="U172" s="25"/>
      <c r="V172" s="34"/>
      <c r="W172" s="34"/>
      <c r="X172" s="34"/>
      <c r="Y172" s="98"/>
      <c r="Z172" s="31"/>
      <c r="AA172" s="31"/>
      <c r="AB172" s="34"/>
      <c r="AC172" s="34"/>
      <c r="AD172" s="34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</row>
    <row r="173" spans="1:45" s="12" customFormat="1">
      <c r="A173" s="54" t="s">
        <v>77</v>
      </c>
      <c r="B173" s="54"/>
      <c r="C173" s="33">
        <f t="shared" ref="C173:K173" si="113">+C167+C168+C170+C164</f>
        <v>199473.58295524382</v>
      </c>
      <c r="D173" s="33">
        <f t="shared" si="113"/>
        <v>216984.47076782334</v>
      </c>
      <c r="E173" s="33">
        <f t="shared" si="113"/>
        <v>229814.64437062835</v>
      </c>
      <c r="F173" s="33">
        <f t="shared" si="113"/>
        <v>242417.10194715112</v>
      </c>
      <c r="G173" s="33">
        <f t="shared" si="113"/>
        <v>254430.11181003068</v>
      </c>
      <c r="H173" s="33">
        <f t="shared" si="113"/>
        <v>265222.20149560564</v>
      </c>
      <c r="I173" s="33">
        <f t="shared" si="113"/>
        <v>278007.61649317096</v>
      </c>
      <c r="J173" s="33">
        <f t="shared" si="113"/>
        <v>291805.13842431933</v>
      </c>
      <c r="K173" s="33">
        <f t="shared" si="113"/>
        <v>305316.72227793623</v>
      </c>
      <c r="L173" s="7"/>
      <c r="M173" s="7"/>
      <c r="N173" s="7"/>
      <c r="O173" s="34"/>
      <c r="P173" s="73"/>
      <c r="Q173" s="31"/>
      <c r="R173" s="31"/>
      <c r="S173" s="34"/>
      <c r="T173" s="34"/>
      <c r="U173" s="25"/>
      <c r="V173" s="34"/>
      <c r="W173" s="31"/>
      <c r="X173" s="34"/>
      <c r="Y173" s="73"/>
      <c r="Z173" s="31"/>
      <c r="AA173" s="31"/>
      <c r="AB173" s="34"/>
      <c r="AC173" s="34"/>
      <c r="AD173" s="34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</row>
    <row r="174" spans="1:45" s="58" customFormat="1">
      <c r="A174" s="55" t="s">
        <v>29</v>
      </c>
      <c r="B174" s="55" t="s">
        <v>96</v>
      </c>
      <c r="C174" s="52">
        <f t="shared" ref="C174:K174" si="114">C164+C167+C168+C169+C170+C171+C172</f>
        <v>251521.28408964057</v>
      </c>
      <c r="D174" s="52">
        <f t="shared" si="114"/>
        <v>337084.3365970439</v>
      </c>
      <c r="E174" s="52">
        <f t="shared" si="114"/>
        <v>430595.14314409532</v>
      </c>
      <c r="F174" s="52">
        <f t="shared" si="114"/>
        <v>543485.42281493079</v>
      </c>
      <c r="G174" s="52">
        <f t="shared" si="114"/>
        <v>673889.14935703389</v>
      </c>
      <c r="H174" s="52">
        <f t="shared" si="114"/>
        <v>816665.71112872963</v>
      </c>
      <c r="I174" s="52">
        <f t="shared" si="114"/>
        <v>985011.3953597052</v>
      </c>
      <c r="J174" s="52">
        <f t="shared" si="114"/>
        <v>1174831.6029893744</v>
      </c>
      <c r="K174" s="52">
        <f t="shared" si="114"/>
        <v>1385681.7290066236</v>
      </c>
      <c r="L174" s="7"/>
      <c r="M174" s="7"/>
      <c r="N174" s="7"/>
      <c r="O174" s="99"/>
      <c r="P174" s="100"/>
      <c r="Q174" s="53"/>
      <c r="R174" s="53"/>
      <c r="S174" s="99"/>
      <c r="T174" s="99"/>
      <c r="U174" s="25"/>
      <c r="V174" s="34"/>
      <c r="W174" s="99"/>
      <c r="X174" s="99"/>
      <c r="Y174" s="100"/>
      <c r="Z174" s="53"/>
      <c r="AA174" s="53"/>
      <c r="AB174" s="99"/>
      <c r="AC174" s="99"/>
      <c r="AD174" s="99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</row>
    <row r="175" spans="1:45">
      <c r="A175" s="60"/>
      <c r="B175" s="60"/>
      <c r="C175" s="61"/>
      <c r="D175" s="61"/>
      <c r="E175" s="61"/>
      <c r="F175" s="61"/>
      <c r="G175" s="62"/>
      <c r="H175" s="61"/>
      <c r="I175" s="61"/>
      <c r="J175" s="61"/>
      <c r="K175" s="61"/>
      <c r="L175" s="7"/>
      <c r="M175" s="7"/>
      <c r="N175" s="7"/>
      <c r="O175" s="7"/>
      <c r="P175" s="63"/>
      <c r="Q175" s="8"/>
      <c r="R175" s="8"/>
      <c r="S175" s="7"/>
      <c r="T175" s="7"/>
      <c r="U175" s="7"/>
      <c r="V175" s="7"/>
      <c r="W175" s="7"/>
      <c r="X175" s="7"/>
      <c r="Y175" s="63"/>
      <c r="Z175" s="8"/>
      <c r="AA175" s="8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</row>
    <row r="176" spans="1:45">
      <c r="A176" s="60"/>
      <c r="B176" s="60"/>
      <c r="C176" s="61">
        <f t="shared" ref="C176:K176" si="115">+C134</f>
        <v>132822.02489652473</v>
      </c>
      <c r="D176" s="61">
        <f t="shared" si="115"/>
        <v>229069.89783500979</v>
      </c>
      <c r="E176" s="61">
        <f t="shared" si="115"/>
        <v>342642.30688351538</v>
      </c>
      <c r="F176" s="61">
        <f t="shared" si="115"/>
        <v>480300.88454144105</v>
      </c>
      <c r="G176" s="62">
        <f t="shared" si="115"/>
        <v>640681.81043508498</v>
      </c>
      <c r="H176" s="61">
        <f t="shared" si="115"/>
        <v>821015.8585933646</v>
      </c>
      <c r="I176" s="61">
        <f t="shared" si="115"/>
        <v>1028035.1497790131</v>
      </c>
      <c r="J176" s="61">
        <f t="shared" si="115"/>
        <v>1260059.0057988574</v>
      </c>
      <c r="K176" s="61">
        <f t="shared" si="115"/>
        <v>1517967.3593632267</v>
      </c>
      <c r="L176" s="7"/>
      <c r="M176" s="7"/>
      <c r="N176" s="7"/>
      <c r="O176" s="7"/>
      <c r="P176" s="63"/>
      <c r="Q176" s="8"/>
      <c r="R176" s="8"/>
      <c r="S176" s="7"/>
      <c r="T176" s="7"/>
      <c r="U176" s="7"/>
      <c r="V176" s="7"/>
      <c r="W176" s="7"/>
      <c r="X176" s="7"/>
      <c r="Y176" s="63"/>
      <c r="Z176" s="8"/>
      <c r="AA176" s="8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</row>
    <row r="177" spans="1:45">
      <c r="A177" s="60"/>
      <c r="B177" s="60"/>
      <c r="C177" s="61">
        <f t="shared" ref="C177:K177" si="116">+C154</f>
        <v>189464.41550656245</v>
      </c>
      <c r="D177" s="61">
        <f t="shared" si="116"/>
        <v>273846.30486957886</v>
      </c>
      <c r="E177" s="61">
        <f t="shared" si="116"/>
        <v>370116.69065825251</v>
      </c>
      <c r="F177" s="61">
        <f t="shared" si="116"/>
        <v>486353.01748000452</v>
      </c>
      <c r="G177" s="62">
        <f t="shared" si="116"/>
        <v>621402.08789562411</v>
      </c>
      <c r="H177" s="61">
        <f t="shared" si="116"/>
        <v>772700.89723417955</v>
      </c>
      <c r="I177" s="61">
        <f t="shared" si="116"/>
        <v>948608.50390638714</v>
      </c>
      <c r="J177" s="61">
        <f t="shared" si="116"/>
        <v>1145826.5446454436</v>
      </c>
      <c r="K177" s="61">
        <f t="shared" si="116"/>
        <v>1365266.8767086663</v>
      </c>
      <c r="L177" s="7"/>
      <c r="M177" s="7"/>
      <c r="N177" s="7"/>
      <c r="O177" s="7"/>
      <c r="P177" s="63"/>
      <c r="Q177" s="8"/>
      <c r="R177" s="8"/>
      <c r="S177" s="7"/>
      <c r="T177" s="7"/>
      <c r="U177" s="7"/>
      <c r="V177" s="7"/>
      <c r="W177" s="7"/>
      <c r="X177" s="7"/>
      <c r="Y177" s="63"/>
      <c r="Z177" s="8"/>
      <c r="AA177" s="8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</row>
    <row r="178" spans="1:45">
      <c r="A178" s="60"/>
      <c r="B178" s="60"/>
      <c r="C178" s="61">
        <f t="shared" ref="C178:K178" si="117">+C174</f>
        <v>251521.28408964057</v>
      </c>
      <c r="D178" s="61">
        <f t="shared" si="117"/>
        <v>337084.3365970439</v>
      </c>
      <c r="E178" s="61">
        <f t="shared" si="117"/>
        <v>430595.14314409532</v>
      </c>
      <c r="F178" s="61">
        <f t="shared" si="117"/>
        <v>543485.42281493079</v>
      </c>
      <c r="G178" s="62">
        <f t="shared" si="117"/>
        <v>673889.14935703389</v>
      </c>
      <c r="H178" s="61">
        <f t="shared" si="117"/>
        <v>816665.71112872963</v>
      </c>
      <c r="I178" s="61">
        <f t="shared" si="117"/>
        <v>985011.3953597052</v>
      </c>
      <c r="J178" s="61">
        <f t="shared" si="117"/>
        <v>1174831.6029893744</v>
      </c>
      <c r="K178" s="61">
        <f t="shared" si="117"/>
        <v>1385681.7290066236</v>
      </c>
      <c r="L178" s="7"/>
      <c r="M178" s="7"/>
      <c r="N178" s="7"/>
      <c r="O178" s="7"/>
      <c r="P178" s="63"/>
      <c r="Q178" s="8"/>
      <c r="R178" s="8"/>
      <c r="S178" s="7"/>
      <c r="T178" s="7"/>
      <c r="U178" s="7"/>
      <c r="V178" s="7"/>
      <c r="W178" s="7"/>
      <c r="X178" s="7"/>
      <c r="Y178" s="63"/>
      <c r="Z178" s="8"/>
      <c r="AA178" s="8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</row>
    <row r="179" spans="1:45">
      <c r="A179" s="60"/>
      <c r="B179" s="60"/>
      <c r="C179" s="61"/>
      <c r="D179" s="61"/>
      <c r="E179" s="61"/>
      <c r="F179" s="61"/>
      <c r="G179" s="62"/>
      <c r="H179" s="61"/>
      <c r="I179" s="61"/>
      <c r="J179" s="61"/>
      <c r="K179" s="61"/>
      <c r="L179" s="7"/>
      <c r="M179" s="7"/>
      <c r="N179" s="7"/>
      <c r="O179" s="7"/>
      <c r="P179" s="63"/>
      <c r="Q179" s="8"/>
      <c r="R179" s="8"/>
      <c r="S179" s="7"/>
      <c r="T179" s="7"/>
      <c r="U179" s="7"/>
      <c r="V179" s="7"/>
      <c r="W179" s="7"/>
      <c r="X179" s="7"/>
      <c r="Y179" s="63"/>
      <c r="Z179" s="8"/>
      <c r="AA179" s="8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</row>
    <row r="180" spans="1:45">
      <c r="A180" s="60"/>
      <c r="B180" s="60"/>
      <c r="C180" s="61"/>
      <c r="D180" s="61"/>
      <c r="E180" s="61"/>
      <c r="F180" s="61"/>
      <c r="G180" s="62"/>
      <c r="H180" s="61"/>
      <c r="I180" s="61"/>
      <c r="J180" s="61"/>
      <c r="K180" s="61"/>
      <c r="L180" s="7"/>
      <c r="M180" s="7"/>
      <c r="N180" s="7"/>
      <c r="O180" s="7"/>
      <c r="P180" s="63"/>
      <c r="Q180" s="8"/>
      <c r="R180" s="8"/>
      <c r="S180" s="7"/>
      <c r="T180" s="7"/>
      <c r="U180" s="7"/>
      <c r="V180" s="7"/>
      <c r="W180" s="7"/>
      <c r="X180" s="7"/>
      <c r="Y180" s="63"/>
      <c r="Z180" s="8"/>
      <c r="AA180" s="8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</row>
    <row r="181" spans="1:45">
      <c r="A181" s="60"/>
      <c r="B181" s="60"/>
      <c r="C181" s="61"/>
      <c r="D181" s="61"/>
      <c r="E181" s="61"/>
      <c r="F181" s="61"/>
      <c r="G181" s="62"/>
      <c r="H181" s="61"/>
      <c r="I181" s="61"/>
      <c r="J181" s="61"/>
      <c r="K181" s="61"/>
      <c r="L181" s="7"/>
      <c r="M181" s="7"/>
      <c r="N181" s="7"/>
      <c r="O181" s="7"/>
      <c r="P181" s="63"/>
      <c r="Q181" s="8"/>
      <c r="R181" s="8"/>
      <c r="S181" s="7"/>
      <c r="T181" s="7"/>
      <c r="U181" s="7"/>
      <c r="V181" s="7"/>
      <c r="W181" s="7"/>
      <c r="X181" s="7"/>
      <c r="Y181" s="63"/>
      <c r="Z181" s="8"/>
      <c r="AA181" s="8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</row>
    <row r="182" spans="1:45">
      <c r="A182" s="60"/>
      <c r="B182" s="60"/>
      <c r="C182" s="61"/>
      <c r="D182" s="61"/>
      <c r="E182" s="61"/>
      <c r="F182" s="61"/>
      <c r="G182" s="62"/>
      <c r="H182" s="61"/>
      <c r="I182" s="61"/>
      <c r="J182" s="61"/>
      <c r="K182" s="61"/>
      <c r="L182" s="64"/>
      <c r="M182" s="64"/>
      <c r="N182" s="64"/>
      <c r="O182" s="7"/>
      <c r="P182" s="63"/>
      <c r="Q182" s="8"/>
      <c r="R182" s="8"/>
      <c r="S182" s="7"/>
      <c r="T182" s="7"/>
      <c r="U182" s="7"/>
      <c r="V182" s="7"/>
      <c r="W182" s="7"/>
      <c r="X182" s="7"/>
      <c r="Y182" s="63"/>
      <c r="Z182" s="8"/>
      <c r="AA182" s="8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</row>
    <row r="183" spans="1:45">
      <c r="A183" s="60"/>
      <c r="B183" s="60"/>
      <c r="C183" s="61"/>
      <c r="D183" s="61"/>
      <c r="E183" s="61"/>
      <c r="F183" s="61"/>
      <c r="G183" s="62"/>
      <c r="H183" s="61"/>
      <c r="I183" s="61"/>
      <c r="J183" s="61"/>
      <c r="K183" s="61"/>
      <c r="L183" s="64"/>
      <c r="M183" s="64"/>
      <c r="N183" s="64"/>
      <c r="O183" s="7"/>
      <c r="P183" s="63"/>
      <c r="Q183" s="8"/>
      <c r="R183" s="8"/>
      <c r="S183" s="7"/>
      <c r="T183" s="7"/>
      <c r="U183" s="7"/>
      <c r="V183" s="7"/>
      <c r="W183" s="7"/>
      <c r="X183" s="7"/>
      <c r="Y183" s="63"/>
      <c r="Z183" s="8"/>
      <c r="AA183" s="8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</row>
    <row r="184" spans="1:45">
      <c r="A184" s="60"/>
      <c r="B184" s="60"/>
      <c r="C184" s="61"/>
      <c r="D184" s="61"/>
      <c r="E184" s="61"/>
      <c r="F184" s="61"/>
      <c r="G184" s="62"/>
      <c r="H184" s="61"/>
      <c r="I184" s="61"/>
      <c r="J184" s="61"/>
      <c r="K184" s="61"/>
      <c r="L184" s="64"/>
      <c r="M184" s="64"/>
      <c r="N184" s="64"/>
      <c r="O184" s="7"/>
      <c r="P184" s="63"/>
      <c r="Q184" s="8"/>
      <c r="R184" s="8"/>
      <c r="S184" s="7"/>
      <c r="T184" s="7"/>
      <c r="U184" s="64"/>
      <c r="V184" s="64"/>
      <c r="W184" s="64"/>
      <c r="X184" s="7"/>
      <c r="Y184" s="63"/>
      <c r="Z184" s="8"/>
      <c r="AA184" s="8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</row>
    <row r="185" spans="1:45" s="65" customFormat="1">
      <c r="A185" s="107" t="s">
        <v>35</v>
      </c>
      <c r="B185" s="107"/>
      <c r="C185" s="108" t="str">
        <f t="shared" ref="C185" si="118">+C55</f>
        <v/>
      </c>
      <c r="D185" s="108" t="str">
        <f>+D55</f>
        <v/>
      </c>
      <c r="E185" s="108" t="str">
        <f>+E55</f>
        <v/>
      </c>
      <c r="F185" s="108" t="str">
        <f>+F55</f>
        <v/>
      </c>
      <c r="G185" s="109" t="str">
        <f>+G55</f>
        <v/>
      </c>
      <c r="H185" s="108"/>
      <c r="I185" s="108"/>
      <c r="J185" s="108"/>
      <c r="K185" s="108"/>
      <c r="L185" s="64"/>
      <c r="M185" s="64"/>
      <c r="N185" s="64"/>
      <c r="P185" s="63"/>
      <c r="Q185" s="63"/>
      <c r="R185" s="63"/>
      <c r="U185" s="64"/>
      <c r="V185" s="64"/>
      <c r="W185" s="64"/>
      <c r="Y185" s="63"/>
      <c r="Z185" s="63"/>
      <c r="AA185" s="63"/>
    </row>
    <row r="186" spans="1:45" s="65" customFormat="1">
      <c r="A186" s="107" t="s">
        <v>4</v>
      </c>
      <c r="B186" s="110"/>
      <c r="C186" s="111">
        <v>200</v>
      </c>
      <c r="D186" s="111">
        <v>400</v>
      </c>
      <c r="E186" s="111">
        <v>600</v>
      </c>
      <c r="F186" s="111">
        <v>800</v>
      </c>
      <c r="G186" s="112">
        <v>1000</v>
      </c>
      <c r="H186" s="111">
        <v>1200</v>
      </c>
      <c r="I186" s="111">
        <v>1400</v>
      </c>
      <c r="J186" s="111">
        <v>1600</v>
      </c>
      <c r="K186" s="111">
        <v>1800</v>
      </c>
      <c r="L186" s="64"/>
      <c r="M186" s="64"/>
      <c r="N186" s="64"/>
      <c r="P186" s="63"/>
      <c r="Q186" s="63"/>
      <c r="R186" s="63"/>
      <c r="U186" s="64"/>
      <c r="V186" s="64"/>
      <c r="W186" s="64"/>
      <c r="Y186" s="63"/>
      <c r="Z186" s="63"/>
      <c r="AA186" s="63"/>
    </row>
    <row r="187" spans="1:45" s="65" customFormat="1">
      <c r="A187" s="107"/>
      <c r="B187" s="113"/>
      <c r="C187" s="111"/>
      <c r="D187" s="111"/>
      <c r="E187" s="111"/>
      <c r="F187" s="111"/>
      <c r="G187" s="112"/>
      <c r="H187" s="111"/>
      <c r="I187" s="111"/>
      <c r="J187" s="111"/>
      <c r="K187" s="111"/>
      <c r="L187" s="64"/>
      <c r="M187" s="64"/>
      <c r="N187" s="64"/>
      <c r="P187" s="63"/>
      <c r="Q187" s="63"/>
      <c r="R187" s="63"/>
      <c r="U187" s="64"/>
      <c r="V187" s="64"/>
      <c r="W187" s="64"/>
      <c r="Y187" s="63"/>
      <c r="Z187" s="63"/>
      <c r="AA187" s="63"/>
    </row>
    <row r="188" spans="1:45" s="65" customFormat="1">
      <c r="A188" s="107" t="str">
        <f t="shared" ref="A188:A194" si="119">+A58</f>
        <v>Pløying</v>
      </c>
      <c r="B188" s="110"/>
      <c r="C188" s="111">
        <f t="shared" ref="C188:K194" si="120">+C58</f>
        <v>36.239762267159527</v>
      </c>
      <c r="D188" s="111">
        <f t="shared" si="120"/>
        <v>72.479524534319054</v>
      </c>
      <c r="E188" s="111">
        <f t="shared" si="120"/>
        <v>101.75010175010175</v>
      </c>
      <c r="F188" s="111">
        <f t="shared" si="120"/>
        <v>135.66680233346898</v>
      </c>
      <c r="G188" s="112">
        <f t="shared" si="120"/>
        <v>169.58350291683624</v>
      </c>
      <c r="H188" s="111">
        <f t="shared" si="120"/>
        <v>198.41269841269838</v>
      </c>
      <c r="I188" s="111">
        <f t="shared" si="120"/>
        <v>231.4814814814815</v>
      </c>
      <c r="J188" s="111">
        <f t="shared" si="120"/>
        <v>264.55026455026456</v>
      </c>
      <c r="K188" s="111">
        <f t="shared" si="120"/>
        <v>297.61904761904765</v>
      </c>
      <c r="L188" s="64"/>
      <c r="M188" s="64"/>
      <c r="N188" s="64"/>
      <c r="P188" s="63"/>
      <c r="Q188" s="63"/>
      <c r="R188" s="63"/>
      <c r="U188" s="64"/>
      <c r="V188" s="64"/>
      <c r="W188" s="64"/>
      <c r="Y188" s="63"/>
      <c r="Z188" s="63"/>
      <c r="AA188" s="63"/>
    </row>
    <row r="189" spans="1:45" s="65" customFormat="1">
      <c r="A189" s="107" t="str">
        <f t="shared" si="119"/>
        <v>Slodding</v>
      </c>
      <c r="B189" s="110"/>
      <c r="C189" s="111">
        <f t="shared" si="120"/>
        <v>0</v>
      </c>
      <c r="D189" s="111">
        <f t="shared" si="120"/>
        <v>0</v>
      </c>
      <c r="E189" s="111">
        <f t="shared" si="120"/>
        <v>0</v>
      </c>
      <c r="F189" s="111">
        <f t="shared" si="120"/>
        <v>0</v>
      </c>
      <c r="G189" s="112">
        <f t="shared" si="120"/>
        <v>0</v>
      </c>
      <c r="H189" s="111">
        <f t="shared" si="120"/>
        <v>0</v>
      </c>
      <c r="I189" s="111">
        <f t="shared" si="120"/>
        <v>0</v>
      </c>
      <c r="J189" s="111">
        <f t="shared" si="120"/>
        <v>0</v>
      </c>
      <c r="K189" s="111">
        <f t="shared" si="120"/>
        <v>0</v>
      </c>
      <c r="L189" s="64"/>
      <c r="M189" s="64"/>
      <c r="N189" s="64"/>
      <c r="P189" s="63"/>
      <c r="Q189" s="63"/>
      <c r="R189" s="63"/>
      <c r="U189" s="64"/>
      <c r="V189" s="64"/>
      <c r="W189" s="64"/>
      <c r="Y189" s="63"/>
      <c r="Z189" s="63"/>
      <c r="AA189" s="63"/>
    </row>
    <row r="190" spans="1:45" s="65" customFormat="1">
      <c r="A190" s="107" t="str">
        <f t="shared" si="119"/>
        <v>Harving</v>
      </c>
      <c r="B190" s="110"/>
      <c r="C190" s="111">
        <f t="shared" si="120"/>
        <v>7.0433791597592021</v>
      </c>
      <c r="D190" s="111">
        <f t="shared" si="120"/>
        <v>14.086758319518404</v>
      </c>
      <c r="E190" s="111">
        <f t="shared" si="120"/>
        <v>20.473621402304872</v>
      </c>
      <c r="F190" s="111">
        <f t="shared" si="120"/>
        <v>27.298161869739825</v>
      </c>
      <c r="G190" s="112">
        <f t="shared" si="120"/>
        <v>34.122702337174779</v>
      </c>
      <c r="H190" s="111">
        <f t="shared" si="120"/>
        <v>40.403810836933381</v>
      </c>
      <c r="I190" s="111">
        <f t="shared" si="120"/>
        <v>47.137779309755608</v>
      </c>
      <c r="J190" s="111">
        <f t="shared" si="120"/>
        <v>53.871747782577827</v>
      </c>
      <c r="K190" s="111">
        <f t="shared" si="120"/>
        <v>60.605716255400061</v>
      </c>
      <c r="L190" s="64"/>
      <c r="M190" s="64"/>
      <c r="N190" s="64"/>
      <c r="P190" s="63"/>
      <c r="Q190" s="63"/>
      <c r="R190" s="63"/>
      <c r="U190" s="64"/>
      <c r="V190" s="64"/>
      <c r="W190" s="64"/>
      <c r="Y190" s="63"/>
      <c r="Z190" s="63"/>
      <c r="AA190" s="63"/>
    </row>
    <row r="191" spans="1:45" s="65" customFormat="1">
      <c r="A191" s="107" t="str">
        <f t="shared" si="119"/>
        <v>Såing</v>
      </c>
      <c r="B191" s="110"/>
      <c r="C191" s="111">
        <f t="shared" si="120"/>
        <v>27.056057445421168</v>
      </c>
      <c r="D191" s="111">
        <f t="shared" si="120"/>
        <v>54.112114890842335</v>
      </c>
      <c r="E191" s="111">
        <f t="shared" si="120"/>
        <v>78.936566575100244</v>
      </c>
      <c r="F191" s="111">
        <f t="shared" si="120"/>
        <v>105.24875543346701</v>
      </c>
      <c r="G191" s="112">
        <f t="shared" si="120"/>
        <v>131.56094429183375</v>
      </c>
      <c r="H191" s="111">
        <f t="shared" si="120"/>
        <v>156.076852242044</v>
      </c>
      <c r="I191" s="111">
        <f t="shared" si="120"/>
        <v>182.08966094905134</v>
      </c>
      <c r="J191" s="111">
        <f t="shared" si="120"/>
        <v>208.10246965605867</v>
      </c>
      <c r="K191" s="111">
        <f t="shared" si="120"/>
        <v>234.11527836306598</v>
      </c>
      <c r="L191" s="64"/>
      <c r="M191" s="64"/>
      <c r="N191" s="64"/>
      <c r="P191" s="63"/>
      <c r="Q191" s="63"/>
      <c r="R191" s="63"/>
      <c r="U191" s="64"/>
      <c r="V191" s="64"/>
      <c r="W191" s="64"/>
      <c r="Y191" s="63"/>
      <c r="Z191" s="63"/>
      <c r="AA191" s="63"/>
    </row>
    <row r="192" spans="1:45" s="65" customFormat="1">
      <c r="A192" s="107" t="str">
        <f t="shared" si="119"/>
        <v>Tromling</v>
      </c>
      <c r="B192" s="110"/>
      <c r="C192" s="111">
        <f t="shared" si="120"/>
        <v>9.2836287848194097</v>
      </c>
      <c r="D192" s="111">
        <f t="shared" si="120"/>
        <v>18.567257569638819</v>
      </c>
      <c r="E192" s="111">
        <f t="shared" si="120"/>
        <v>27.120114989287551</v>
      </c>
      <c r="F192" s="111">
        <f t="shared" si="120"/>
        <v>36.160153319050067</v>
      </c>
      <c r="G192" s="112">
        <f t="shared" si="120"/>
        <v>45.200191648812577</v>
      </c>
      <c r="H192" s="111">
        <f t="shared" si="120"/>
        <v>53.625053625053624</v>
      </c>
      <c r="I192" s="111">
        <f t="shared" si="120"/>
        <v>62.562562562562569</v>
      </c>
      <c r="J192" s="111">
        <f t="shared" si="120"/>
        <v>71.500071500071513</v>
      </c>
      <c r="K192" s="111">
        <f t="shared" si="120"/>
        <v>80.437580437580436</v>
      </c>
      <c r="L192" s="64"/>
      <c r="M192" s="64"/>
      <c r="N192" s="64"/>
      <c r="P192" s="63"/>
      <c r="Q192" s="63"/>
      <c r="R192" s="63"/>
      <c r="U192" s="64"/>
      <c r="V192" s="64"/>
      <c r="W192" s="64"/>
      <c r="Y192" s="63"/>
      <c r="Z192" s="63"/>
      <c r="AA192" s="63"/>
    </row>
    <row r="193" spans="1:27" s="65" customFormat="1">
      <c r="A193" s="107" t="str">
        <f t="shared" si="119"/>
        <v>Annet kjøring for øvrig i året</v>
      </c>
      <c r="B193" s="110"/>
      <c r="C193" s="111">
        <f t="shared" si="120"/>
        <v>56.239762267159527</v>
      </c>
      <c r="D193" s="111">
        <f t="shared" si="120"/>
        <v>112.47952453431905</v>
      </c>
      <c r="E193" s="111">
        <f t="shared" si="120"/>
        <v>161.75010175010175</v>
      </c>
      <c r="F193" s="111">
        <f t="shared" si="120"/>
        <v>215.66680233346898</v>
      </c>
      <c r="G193" s="112">
        <f t="shared" si="120"/>
        <v>269.58350291683621</v>
      </c>
      <c r="H193" s="111">
        <f t="shared" si="120"/>
        <v>318.41269841269838</v>
      </c>
      <c r="I193" s="111">
        <f t="shared" si="120"/>
        <v>371.48148148148152</v>
      </c>
      <c r="J193" s="111">
        <f t="shared" si="120"/>
        <v>424.55026455026456</v>
      </c>
      <c r="K193" s="111">
        <f t="shared" si="120"/>
        <v>477.61904761904765</v>
      </c>
      <c r="L193" s="64"/>
      <c r="M193" s="64"/>
      <c r="N193" s="64"/>
      <c r="P193" s="63"/>
      <c r="Q193" s="63"/>
      <c r="R193" s="63"/>
      <c r="U193" s="64"/>
      <c r="V193" s="64"/>
      <c r="W193" s="64"/>
      <c r="Y193" s="63"/>
      <c r="Z193" s="63"/>
      <c r="AA193" s="63"/>
    </row>
    <row r="194" spans="1:27" s="65" customFormat="1">
      <c r="A194" s="107" t="str">
        <f t="shared" si="119"/>
        <v>Sum våronnkjøring inkludert 2 timer diverse per 100 dekar</v>
      </c>
      <c r="B194" s="110"/>
      <c r="C194" s="111">
        <f t="shared" si="120"/>
        <v>47.383065389999786</v>
      </c>
      <c r="D194" s="111">
        <f t="shared" si="120"/>
        <v>94.766130779999571</v>
      </c>
      <c r="E194" s="111">
        <f t="shared" si="120"/>
        <v>138.53030296669266</v>
      </c>
      <c r="F194" s="111">
        <f t="shared" si="120"/>
        <v>184.70707062225691</v>
      </c>
      <c r="G194" s="112">
        <f t="shared" si="120"/>
        <v>230.8838382778211</v>
      </c>
      <c r="H194" s="111">
        <f t="shared" si="120"/>
        <v>274.10571670403101</v>
      </c>
      <c r="I194" s="111">
        <f t="shared" si="120"/>
        <v>319.79000282136951</v>
      </c>
      <c r="J194" s="111">
        <f t="shared" si="120"/>
        <v>365.47428893870801</v>
      </c>
      <c r="K194" s="111">
        <f t="shared" si="120"/>
        <v>411.15857505604646</v>
      </c>
      <c r="L194" s="64"/>
      <c r="M194" s="64"/>
      <c r="N194" s="64"/>
      <c r="P194" s="63"/>
      <c r="Q194" s="63"/>
      <c r="R194" s="63"/>
      <c r="U194" s="64"/>
      <c r="V194" s="64"/>
      <c r="W194" s="64"/>
      <c r="Y194" s="63"/>
      <c r="Z194" s="63"/>
      <c r="AA194" s="63"/>
    </row>
    <row r="195" spans="1:27" s="65" customFormat="1">
      <c r="A195" s="107" t="s">
        <v>72</v>
      </c>
      <c r="B195" s="110"/>
      <c r="C195" s="111">
        <f t="shared" ref="C195:K195" si="121">+(C65+$D$20)/2</f>
        <v>119.93129496215943</v>
      </c>
      <c r="D195" s="111">
        <f t="shared" si="121"/>
        <v>189.86258992431885</v>
      </c>
      <c r="E195" s="111">
        <f t="shared" si="121"/>
        <v>251.01525323344808</v>
      </c>
      <c r="F195" s="111">
        <f t="shared" si="121"/>
        <v>318.02033764459748</v>
      </c>
      <c r="G195" s="112">
        <f t="shared" si="121"/>
        <v>385.02542205574679</v>
      </c>
      <c r="H195" s="111">
        <f t="shared" si="121"/>
        <v>445.46555676471382</v>
      </c>
      <c r="I195" s="111">
        <f t="shared" si="121"/>
        <v>511.37648289216628</v>
      </c>
      <c r="J195" s="111">
        <f t="shared" si="121"/>
        <v>577.28740901961851</v>
      </c>
      <c r="K195" s="111">
        <f t="shared" si="121"/>
        <v>643.19833514707091</v>
      </c>
      <c r="L195" s="64"/>
      <c r="M195" s="64"/>
      <c r="N195" s="64"/>
      <c r="P195" s="63"/>
      <c r="Q195" s="63"/>
      <c r="R195" s="63"/>
      <c r="U195" s="64"/>
      <c r="V195" s="64"/>
      <c r="W195" s="64"/>
      <c r="Y195" s="63"/>
      <c r="Z195" s="63"/>
      <c r="AA195" s="63"/>
    </row>
    <row r="196" spans="1:27" s="65" customFormat="1">
      <c r="A196" s="107" t="str">
        <f>+A66</f>
        <v>Dager våronn</v>
      </c>
      <c r="B196" s="110"/>
      <c r="C196" s="111">
        <f t="shared" ref="C196:K196" si="122">+C66/2</f>
        <v>2.9614415868749866</v>
      </c>
      <c r="D196" s="111">
        <f t="shared" si="122"/>
        <v>5.9228831737499732</v>
      </c>
      <c r="E196" s="111">
        <f t="shared" si="122"/>
        <v>8.6581439354182912</v>
      </c>
      <c r="F196" s="111">
        <f t="shared" si="122"/>
        <v>11.544191913891057</v>
      </c>
      <c r="G196" s="112">
        <f t="shared" si="122"/>
        <v>14.430239892363819</v>
      </c>
      <c r="H196" s="111">
        <f t="shared" si="122"/>
        <v>17.131607294001938</v>
      </c>
      <c r="I196" s="111">
        <f t="shared" si="122"/>
        <v>19.986875176335595</v>
      </c>
      <c r="J196" s="111">
        <f t="shared" si="122"/>
        <v>22.842143058669251</v>
      </c>
      <c r="K196" s="111">
        <f t="shared" si="122"/>
        <v>25.697410941002904</v>
      </c>
      <c r="L196" s="30"/>
      <c r="M196" s="30"/>
      <c r="N196" s="64"/>
      <c r="P196" s="63"/>
      <c r="Q196" s="63"/>
      <c r="R196" s="63"/>
      <c r="U196" s="64"/>
      <c r="V196" s="64"/>
      <c r="W196" s="64"/>
      <c r="Y196" s="63"/>
      <c r="Z196" s="63"/>
      <c r="AA196" s="63"/>
    </row>
    <row r="197" spans="1:27" s="65" customFormat="1">
      <c r="A197" s="107" t="str">
        <f>+A67</f>
        <v>Kapasitet daa per. Dag</v>
      </c>
      <c r="B197" s="110"/>
      <c r="C197" s="111">
        <f t="shared" ref="C197:K197" si="123">+C186/C196</f>
        <v>67.534676654232698</v>
      </c>
      <c r="D197" s="111">
        <f t="shared" si="123"/>
        <v>67.534676654232698</v>
      </c>
      <c r="E197" s="111">
        <f t="shared" si="123"/>
        <v>69.298917236239376</v>
      </c>
      <c r="F197" s="111">
        <f t="shared" si="123"/>
        <v>69.298917236239362</v>
      </c>
      <c r="G197" s="112">
        <f t="shared" si="123"/>
        <v>69.298917236239376</v>
      </c>
      <c r="H197" s="111">
        <f t="shared" si="123"/>
        <v>70.04596704829558</v>
      </c>
      <c r="I197" s="111">
        <f t="shared" si="123"/>
        <v>70.04596704829558</v>
      </c>
      <c r="J197" s="111">
        <f t="shared" si="123"/>
        <v>70.04596704829558</v>
      </c>
      <c r="K197" s="111">
        <f t="shared" si="123"/>
        <v>70.045967048295594</v>
      </c>
      <c r="L197" s="30"/>
      <c r="M197" s="30"/>
      <c r="N197" s="64"/>
      <c r="P197" s="63"/>
      <c r="Q197" s="63"/>
      <c r="R197" s="63"/>
      <c r="U197" s="64"/>
      <c r="V197" s="64"/>
      <c r="W197" s="64"/>
      <c r="Y197" s="63"/>
      <c r="Z197" s="63"/>
      <c r="AA197" s="63"/>
    </row>
    <row r="198" spans="1:27" s="65" customFormat="1">
      <c r="A198" s="107" t="str">
        <f>+A68</f>
        <v>Levetid traktor</v>
      </c>
      <c r="B198" s="110"/>
      <c r="C198" s="111">
        <f t="shared" ref="C198:K198" si="124">IF(6000/C195&gt;12,12,6000/C195)</f>
        <v>12</v>
      </c>
      <c r="D198" s="111">
        <f t="shared" si="124"/>
        <v>12</v>
      </c>
      <c r="E198" s="111">
        <f t="shared" si="124"/>
        <v>12</v>
      </c>
      <c r="F198" s="111">
        <f t="shared" si="124"/>
        <v>12</v>
      </c>
      <c r="G198" s="112">
        <f t="shared" si="124"/>
        <v>12</v>
      </c>
      <c r="H198" s="111">
        <f t="shared" si="124"/>
        <v>12</v>
      </c>
      <c r="I198" s="111">
        <f t="shared" si="124"/>
        <v>11.733038574762181</v>
      </c>
      <c r="J198" s="111">
        <f t="shared" si="124"/>
        <v>10.3934364516793</v>
      </c>
      <c r="K198" s="111">
        <f t="shared" si="124"/>
        <v>9.3283823544538045</v>
      </c>
      <c r="L198" s="64"/>
      <c r="M198" s="64"/>
      <c r="N198" s="64"/>
      <c r="P198" s="63"/>
      <c r="Q198" s="63"/>
      <c r="R198" s="63"/>
      <c r="U198" s="30"/>
      <c r="V198" s="30"/>
      <c r="W198" s="64"/>
      <c r="Y198" s="63"/>
      <c r="Z198" s="63"/>
      <c r="AA198" s="63"/>
    </row>
    <row r="199" spans="1:27" s="65" customFormat="1">
      <c r="A199" s="107" t="s">
        <v>74</v>
      </c>
      <c r="B199" s="114"/>
      <c r="C199" s="111">
        <f t="shared" ref="C199:K200" si="125">+C69</f>
        <v>15.924565531431861</v>
      </c>
      <c r="D199" s="111">
        <f t="shared" si="125"/>
        <v>31.849131062863723</v>
      </c>
      <c r="E199" s="111">
        <f t="shared" si="125"/>
        <v>45.65608094335888</v>
      </c>
      <c r="F199" s="111">
        <f t="shared" si="125"/>
        <v>60.874774591145183</v>
      </c>
      <c r="G199" s="112">
        <f t="shared" si="125"/>
        <v>76.093468238931464</v>
      </c>
      <c r="H199" s="111">
        <f t="shared" si="125"/>
        <v>89.703683023345874</v>
      </c>
      <c r="I199" s="111">
        <f t="shared" si="125"/>
        <v>104.65429686057021</v>
      </c>
      <c r="J199" s="111">
        <f t="shared" si="125"/>
        <v>119.60491069779451</v>
      </c>
      <c r="K199" s="111">
        <f t="shared" si="125"/>
        <v>134.55552453501883</v>
      </c>
      <c r="L199" s="68"/>
      <c r="M199" s="68"/>
      <c r="N199" s="68"/>
      <c r="P199" s="63"/>
      <c r="Q199" s="63"/>
      <c r="R199" s="63"/>
      <c r="U199" s="30"/>
      <c r="V199" s="30"/>
      <c r="W199" s="64"/>
      <c r="Y199" s="63"/>
      <c r="Z199" s="63"/>
      <c r="AA199" s="63"/>
    </row>
    <row r="200" spans="1:27" s="65" customFormat="1">
      <c r="A200" s="107" t="str">
        <f>+A70</f>
        <v>Levetid redskaper</v>
      </c>
      <c r="B200" s="110"/>
      <c r="C200" s="111">
        <f t="shared" si="125"/>
        <v>15</v>
      </c>
      <c r="D200" s="111">
        <f t="shared" si="125"/>
        <v>15</v>
      </c>
      <c r="E200" s="111">
        <f t="shared" si="125"/>
        <v>15</v>
      </c>
      <c r="F200" s="111">
        <f t="shared" si="125"/>
        <v>15</v>
      </c>
      <c r="G200" s="112">
        <f t="shared" si="125"/>
        <v>15</v>
      </c>
      <c r="H200" s="111">
        <f t="shared" si="125"/>
        <v>15</v>
      </c>
      <c r="I200" s="111">
        <f t="shared" si="125"/>
        <v>15</v>
      </c>
      <c r="J200" s="111">
        <f t="shared" si="125"/>
        <v>15</v>
      </c>
      <c r="K200" s="111">
        <f t="shared" si="125"/>
        <v>15</v>
      </c>
      <c r="L200" s="75"/>
      <c r="M200" s="75"/>
      <c r="N200" s="76"/>
      <c r="P200" s="63"/>
      <c r="Q200" s="63"/>
      <c r="R200" s="63"/>
      <c r="U200" s="64"/>
      <c r="V200" s="64"/>
      <c r="W200" s="64"/>
      <c r="Y200" s="63"/>
      <c r="Z200" s="63"/>
      <c r="AA200" s="63"/>
    </row>
    <row r="201" spans="1:27" s="69" customFormat="1">
      <c r="A201" s="107" t="s">
        <v>43</v>
      </c>
      <c r="B201" s="115"/>
      <c r="C201" s="116">
        <f t="shared" ref="C201:K201" si="126">100-($N$7+$N$8*$D$22+$N$9*C197+$N$10*C186+$N$11*$D$22*C186+$N$12*C197^2+$N$13*C197*C186+$N$14*C186^2+$N$15*$D$22*C197*C186)</f>
        <v>11.686434433103614</v>
      </c>
      <c r="D201" s="116">
        <f t="shared" si="126"/>
        <v>13.591370422115915</v>
      </c>
      <c r="E201" s="116">
        <f t="shared" si="126"/>
        <v>15.386941247428965</v>
      </c>
      <c r="F201" s="116">
        <f t="shared" si="126"/>
        <v>17.402831348261543</v>
      </c>
      <c r="G201" s="116">
        <f t="shared" si="126"/>
        <v>19.498721449094077</v>
      </c>
      <c r="H201" s="116">
        <f t="shared" si="126"/>
        <v>21.534087068087544</v>
      </c>
      <c r="I201" s="116">
        <f t="shared" si="126"/>
        <v>23.769209184144898</v>
      </c>
      <c r="J201" s="116">
        <f t="shared" si="126"/>
        <v>26.084331300202308</v>
      </c>
      <c r="K201" s="116">
        <f t="shared" si="126"/>
        <v>28.479453416259688</v>
      </c>
      <c r="L201" s="64"/>
      <c r="M201" s="64"/>
      <c r="N201" s="64"/>
      <c r="P201" s="70"/>
      <c r="Q201" s="70"/>
      <c r="R201" s="70"/>
      <c r="U201" s="68"/>
      <c r="V201" s="68"/>
      <c r="W201" s="68"/>
      <c r="Y201" s="70"/>
      <c r="Z201" s="70"/>
      <c r="AA201" s="70"/>
    </row>
    <row r="202" spans="1:27" s="77" customFormat="1" ht="14.4" customHeight="1">
      <c r="A202" s="117"/>
      <c r="B202" s="117"/>
      <c r="C202" s="118"/>
      <c r="D202" s="118"/>
      <c r="E202" s="118"/>
      <c r="F202" s="118"/>
      <c r="G202" s="118"/>
      <c r="H202" s="118"/>
      <c r="I202" s="118"/>
      <c r="J202" s="118"/>
      <c r="K202" s="118"/>
      <c r="L202" s="64"/>
      <c r="M202" s="64"/>
      <c r="N202" s="64"/>
      <c r="P202" s="78"/>
      <c r="U202" s="75"/>
      <c r="V202" s="75"/>
      <c r="W202" s="76"/>
      <c r="Y202" s="78"/>
    </row>
    <row r="203" spans="1:27" s="65" customFormat="1">
      <c r="A203" s="107"/>
      <c r="B203" s="114"/>
      <c r="C203" s="111"/>
      <c r="D203" s="111"/>
      <c r="E203" s="111"/>
      <c r="F203" s="111"/>
      <c r="G203" s="112"/>
      <c r="H203" s="111"/>
      <c r="I203" s="111"/>
      <c r="J203" s="111"/>
      <c r="K203" s="111"/>
      <c r="L203" s="64"/>
      <c r="M203" s="64"/>
      <c r="N203" s="64"/>
      <c r="P203" s="63"/>
      <c r="Q203" s="63"/>
      <c r="R203" s="63"/>
      <c r="U203" s="64"/>
      <c r="V203" s="64"/>
      <c r="W203" s="64"/>
      <c r="Y203" s="63"/>
      <c r="Z203" s="63"/>
      <c r="AA203" s="63"/>
    </row>
    <row r="204" spans="1:27" s="65" customFormat="1">
      <c r="A204" s="107"/>
      <c r="B204" s="114"/>
      <c r="C204" s="111"/>
      <c r="D204" s="111"/>
      <c r="E204" s="111"/>
      <c r="F204" s="111"/>
      <c r="G204" s="112"/>
      <c r="H204" s="111"/>
      <c r="I204" s="111"/>
      <c r="J204" s="111"/>
      <c r="K204" s="111"/>
      <c r="L204" s="64"/>
      <c r="M204" s="64"/>
      <c r="N204" s="64"/>
      <c r="P204" s="63"/>
      <c r="Q204" s="63"/>
      <c r="R204" s="63"/>
      <c r="U204" s="64"/>
      <c r="V204" s="64"/>
      <c r="W204" s="64"/>
      <c r="Y204" s="63"/>
      <c r="Z204" s="63"/>
      <c r="AA204" s="63"/>
    </row>
    <row r="205" spans="1:27" s="65" customFormat="1">
      <c r="A205" s="107" t="s">
        <v>36</v>
      </c>
      <c r="B205" s="114"/>
      <c r="C205" s="111" t="str">
        <f t="shared" ref="C205:G205" si="127">+C75</f>
        <v/>
      </c>
      <c r="D205" s="111" t="str">
        <f t="shared" si="127"/>
        <v/>
      </c>
      <c r="E205" s="111" t="str">
        <f t="shared" si="127"/>
        <v/>
      </c>
      <c r="F205" s="111" t="str">
        <f t="shared" si="127"/>
        <v/>
      </c>
      <c r="G205" s="112" t="str">
        <f t="shared" si="127"/>
        <v/>
      </c>
      <c r="H205" s="111"/>
      <c r="I205" s="111"/>
      <c r="J205" s="111"/>
      <c r="K205" s="111"/>
      <c r="L205" s="64"/>
      <c r="M205" s="64"/>
      <c r="N205" s="64"/>
      <c r="P205" s="63"/>
      <c r="Q205" s="63"/>
      <c r="R205" s="63"/>
      <c r="U205" s="64"/>
      <c r="V205" s="64"/>
      <c r="W205" s="64"/>
      <c r="Y205" s="63"/>
      <c r="Z205" s="63"/>
      <c r="AA205" s="63"/>
    </row>
    <row r="206" spans="1:27" s="65" customFormat="1">
      <c r="A206" s="107" t="str">
        <f>+A186</f>
        <v>Areal</v>
      </c>
      <c r="B206" s="110"/>
      <c r="C206" s="111">
        <v>200</v>
      </c>
      <c r="D206" s="111">
        <v>400</v>
      </c>
      <c r="E206" s="111">
        <v>600</v>
      </c>
      <c r="F206" s="111">
        <v>800</v>
      </c>
      <c r="G206" s="112">
        <v>1000</v>
      </c>
      <c r="H206" s="111">
        <v>1200</v>
      </c>
      <c r="I206" s="111">
        <v>1400</v>
      </c>
      <c r="J206" s="111">
        <v>1600</v>
      </c>
      <c r="K206" s="111">
        <v>1800</v>
      </c>
      <c r="L206" s="64"/>
      <c r="M206" s="64"/>
      <c r="N206" s="64"/>
      <c r="P206" s="63"/>
      <c r="Q206" s="63"/>
      <c r="R206" s="63"/>
      <c r="U206" s="64"/>
      <c r="V206" s="64"/>
      <c r="W206" s="64"/>
      <c r="Y206" s="63"/>
      <c r="Z206" s="63"/>
      <c r="AA206" s="63"/>
    </row>
    <row r="207" spans="1:27" s="65" customFormat="1">
      <c r="A207" s="107">
        <f t="shared" ref="A207:A221" si="128">+A187</f>
        <v>0</v>
      </c>
      <c r="B207" s="110"/>
      <c r="C207" s="111"/>
      <c r="D207" s="111"/>
      <c r="E207" s="111"/>
      <c r="F207" s="111"/>
      <c r="G207" s="112"/>
      <c r="H207" s="111"/>
      <c r="I207" s="111"/>
      <c r="J207" s="111"/>
      <c r="K207" s="111"/>
      <c r="L207" s="64"/>
      <c r="M207" s="64"/>
      <c r="N207" s="64"/>
      <c r="P207" s="63"/>
      <c r="Q207" s="63"/>
      <c r="R207" s="63"/>
      <c r="U207" s="64"/>
      <c r="V207" s="64"/>
      <c r="W207" s="64"/>
      <c r="Y207" s="63"/>
      <c r="Z207" s="63"/>
      <c r="AA207" s="63"/>
    </row>
    <row r="208" spans="1:27" s="65" customFormat="1">
      <c r="A208" s="107" t="str">
        <f t="shared" si="128"/>
        <v>Pløying</v>
      </c>
      <c r="B208" s="110"/>
      <c r="C208" s="111">
        <f t="shared" ref="C208:K214" si="129">+C78</f>
        <v>18.119881133579764</v>
      </c>
      <c r="D208" s="111">
        <f t="shared" si="129"/>
        <v>36.239762267159527</v>
      </c>
      <c r="E208" s="111">
        <f t="shared" si="129"/>
        <v>50.875050875050874</v>
      </c>
      <c r="F208" s="111">
        <f t="shared" si="129"/>
        <v>67.83340116673449</v>
      </c>
      <c r="G208" s="112">
        <f t="shared" si="129"/>
        <v>84.791751458418119</v>
      </c>
      <c r="H208" s="111">
        <f t="shared" si="129"/>
        <v>99.206349206349188</v>
      </c>
      <c r="I208" s="111">
        <f t="shared" si="129"/>
        <v>115.74074074074075</v>
      </c>
      <c r="J208" s="111">
        <f t="shared" si="129"/>
        <v>132.27513227513228</v>
      </c>
      <c r="K208" s="111">
        <f t="shared" si="129"/>
        <v>148.80952380952382</v>
      </c>
      <c r="L208" s="64"/>
      <c r="M208" s="64"/>
      <c r="N208" s="64"/>
      <c r="P208" s="63"/>
      <c r="Q208" s="63"/>
      <c r="R208" s="63"/>
      <c r="U208" s="64"/>
      <c r="V208" s="64"/>
      <c r="W208" s="64"/>
      <c r="Y208" s="63"/>
      <c r="Z208" s="63"/>
      <c r="AA208" s="63"/>
    </row>
    <row r="209" spans="1:27" s="65" customFormat="1">
      <c r="A209" s="107" t="str">
        <f t="shared" si="128"/>
        <v>Slodding</v>
      </c>
      <c r="B209" s="110"/>
      <c r="C209" s="111">
        <f t="shared" si="129"/>
        <v>0</v>
      </c>
      <c r="D209" s="111">
        <f t="shared" si="129"/>
        <v>0</v>
      </c>
      <c r="E209" s="111">
        <f t="shared" si="129"/>
        <v>0</v>
      </c>
      <c r="F209" s="111">
        <f t="shared" si="129"/>
        <v>0</v>
      </c>
      <c r="G209" s="112">
        <f t="shared" si="129"/>
        <v>0</v>
      </c>
      <c r="H209" s="111">
        <f t="shared" si="129"/>
        <v>0</v>
      </c>
      <c r="I209" s="111">
        <f t="shared" si="129"/>
        <v>0</v>
      </c>
      <c r="J209" s="111">
        <f t="shared" si="129"/>
        <v>0</v>
      </c>
      <c r="K209" s="111">
        <f t="shared" si="129"/>
        <v>0</v>
      </c>
      <c r="L209" s="64"/>
      <c r="M209" s="64"/>
      <c r="N209" s="64"/>
      <c r="P209" s="63"/>
      <c r="Q209" s="63"/>
      <c r="R209" s="63"/>
      <c r="U209" s="64"/>
      <c r="V209" s="64"/>
      <c r="W209" s="64"/>
      <c r="Y209" s="63"/>
      <c r="Z209" s="63"/>
      <c r="AA209" s="63"/>
    </row>
    <row r="210" spans="1:27" s="65" customFormat="1">
      <c r="A210" s="107" t="str">
        <f t="shared" si="128"/>
        <v>Harving</v>
      </c>
      <c r="B210" s="110"/>
      <c r="C210" s="111">
        <f t="shared" si="129"/>
        <v>4.6534104961861811</v>
      </c>
      <c r="D210" s="111">
        <f t="shared" si="129"/>
        <v>9.3068209923723622</v>
      </c>
      <c r="E210" s="111">
        <f t="shared" si="129"/>
        <v>13.413721767888289</v>
      </c>
      <c r="F210" s="111">
        <f t="shared" si="129"/>
        <v>17.884962357184381</v>
      </c>
      <c r="G210" s="112">
        <f t="shared" si="129"/>
        <v>22.356202946480479</v>
      </c>
      <c r="H210" s="111">
        <f t="shared" si="129"/>
        <v>26.379003632059064</v>
      </c>
      <c r="I210" s="111">
        <f t="shared" si="129"/>
        <v>30.775504237402242</v>
      </c>
      <c r="J210" s="111">
        <f t="shared" si="129"/>
        <v>35.172004842745416</v>
      </c>
      <c r="K210" s="111">
        <f t="shared" si="129"/>
        <v>39.568505448088594</v>
      </c>
      <c r="L210" s="64"/>
      <c r="M210" s="64"/>
      <c r="N210" s="64"/>
      <c r="P210" s="63"/>
      <c r="Q210" s="63"/>
      <c r="R210" s="63"/>
      <c r="U210" s="64"/>
      <c r="V210" s="64"/>
      <c r="W210" s="64"/>
      <c r="Y210" s="63"/>
      <c r="Z210" s="63"/>
      <c r="AA210" s="63"/>
    </row>
    <row r="211" spans="1:27" s="65" customFormat="1">
      <c r="A211" s="107" t="str">
        <f t="shared" si="128"/>
        <v>Såing</v>
      </c>
      <c r="B211" s="110"/>
      <c r="C211" s="111">
        <f t="shared" si="129"/>
        <v>17.526517621160817</v>
      </c>
      <c r="D211" s="111">
        <f t="shared" si="129"/>
        <v>35.053035242321634</v>
      </c>
      <c r="E211" s="111">
        <f t="shared" si="129"/>
        <v>50.763482781026639</v>
      </c>
      <c r="F211" s="111">
        <f t="shared" si="129"/>
        <v>67.684643708035523</v>
      </c>
      <c r="G211" s="112">
        <f t="shared" si="129"/>
        <v>84.605804635044393</v>
      </c>
      <c r="H211" s="111">
        <f t="shared" si="129"/>
        <v>100.04602116973808</v>
      </c>
      <c r="I211" s="111">
        <f t="shared" si="129"/>
        <v>116.72035803136112</v>
      </c>
      <c r="J211" s="111">
        <f t="shared" si="129"/>
        <v>133.39469489298415</v>
      </c>
      <c r="K211" s="111">
        <f t="shared" si="129"/>
        <v>150.06903175460712</v>
      </c>
      <c r="L211" s="64"/>
      <c r="M211" s="64"/>
      <c r="N211" s="64"/>
      <c r="P211" s="63"/>
      <c r="Q211" s="63"/>
      <c r="R211" s="63"/>
      <c r="U211" s="64"/>
      <c r="V211" s="64"/>
      <c r="W211" s="64"/>
      <c r="Y211" s="63"/>
      <c r="Z211" s="63"/>
      <c r="AA211" s="63"/>
    </row>
    <row r="212" spans="1:27" s="65" customFormat="1">
      <c r="A212" s="107" t="str">
        <f t="shared" si="128"/>
        <v>Tromling</v>
      </c>
      <c r="B212" s="110"/>
      <c r="C212" s="111">
        <f t="shared" si="129"/>
        <v>5.4269106388613482</v>
      </c>
      <c r="D212" s="111">
        <f t="shared" si="129"/>
        <v>10.853821277722696</v>
      </c>
      <c r="E212" s="111">
        <f t="shared" si="129"/>
        <v>15.599796578652612</v>
      </c>
      <c r="F212" s="111">
        <f t="shared" si="129"/>
        <v>20.79972877153682</v>
      </c>
      <c r="G212" s="112">
        <f t="shared" si="129"/>
        <v>25.999660964421022</v>
      </c>
      <c r="H212" s="111">
        <f t="shared" si="129"/>
        <v>30.634439236589774</v>
      </c>
      <c r="I212" s="111">
        <f t="shared" si="129"/>
        <v>35.740179109354742</v>
      </c>
      <c r="J212" s="111">
        <f t="shared" si="129"/>
        <v>40.845918982119706</v>
      </c>
      <c r="K212" s="111">
        <f t="shared" si="129"/>
        <v>45.951658854884663</v>
      </c>
      <c r="L212" s="64"/>
      <c r="M212" s="64"/>
      <c r="N212" s="64"/>
      <c r="P212" s="63"/>
      <c r="Q212" s="63"/>
      <c r="R212" s="63"/>
      <c r="U212" s="64"/>
      <c r="V212" s="64"/>
      <c r="W212" s="64"/>
      <c r="Y212" s="63"/>
      <c r="Z212" s="63"/>
      <c r="AA212" s="63"/>
    </row>
    <row r="213" spans="1:27" s="65" customFormat="1">
      <c r="A213" s="107" t="str">
        <f t="shared" si="128"/>
        <v>Annet kjøring for øvrig i året</v>
      </c>
      <c r="B213" s="110"/>
      <c r="C213" s="111">
        <f t="shared" si="129"/>
        <v>38.119881133579767</v>
      </c>
      <c r="D213" s="111">
        <f t="shared" si="129"/>
        <v>76.239762267159534</v>
      </c>
      <c r="E213" s="111">
        <f t="shared" si="129"/>
        <v>110.87505087505087</v>
      </c>
      <c r="F213" s="111">
        <f t="shared" si="129"/>
        <v>147.83340116673449</v>
      </c>
      <c r="G213" s="112">
        <f t="shared" si="129"/>
        <v>184.7917514584181</v>
      </c>
      <c r="H213" s="111">
        <f t="shared" si="129"/>
        <v>219.20634920634919</v>
      </c>
      <c r="I213" s="111">
        <f t="shared" si="129"/>
        <v>255.74074074074076</v>
      </c>
      <c r="J213" s="111">
        <f t="shared" si="129"/>
        <v>292.27513227513225</v>
      </c>
      <c r="K213" s="111">
        <f t="shared" si="129"/>
        <v>328.80952380952385</v>
      </c>
      <c r="L213" s="64"/>
      <c r="M213" s="64"/>
      <c r="N213" s="64"/>
      <c r="P213" s="63"/>
      <c r="Q213" s="63"/>
      <c r="R213" s="63"/>
      <c r="U213" s="64"/>
      <c r="V213" s="64"/>
      <c r="W213" s="64"/>
      <c r="Y213" s="63"/>
      <c r="Z213" s="63"/>
      <c r="AA213" s="63"/>
    </row>
    <row r="214" spans="1:27" s="65" customFormat="1">
      <c r="A214" s="107" t="str">
        <f t="shared" si="128"/>
        <v>Sum våronnkjøring inkludert 2 timer diverse per 100 dekar</v>
      </c>
      <c r="B214" s="110"/>
      <c r="C214" s="111">
        <f t="shared" si="129"/>
        <v>31.606838756208344</v>
      </c>
      <c r="D214" s="111">
        <f t="shared" si="129"/>
        <v>63.213677512416687</v>
      </c>
      <c r="E214" s="111">
        <f t="shared" si="129"/>
        <v>91.777001127567544</v>
      </c>
      <c r="F214" s="111">
        <f t="shared" si="129"/>
        <v>122.36933483675672</v>
      </c>
      <c r="G214" s="112">
        <f t="shared" si="129"/>
        <v>152.96166854594588</v>
      </c>
      <c r="H214" s="111">
        <f t="shared" si="129"/>
        <v>181.05946403838692</v>
      </c>
      <c r="I214" s="111">
        <f t="shared" si="129"/>
        <v>211.2360413781181</v>
      </c>
      <c r="J214" s="111">
        <f t="shared" si="129"/>
        <v>241.41261871784928</v>
      </c>
      <c r="K214" s="111">
        <f t="shared" si="129"/>
        <v>271.58919605758035</v>
      </c>
      <c r="L214" s="64"/>
      <c r="M214" s="64"/>
      <c r="N214" s="64"/>
      <c r="P214" s="63"/>
      <c r="Q214" s="63"/>
      <c r="R214" s="63"/>
      <c r="U214" s="64"/>
      <c r="V214" s="64"/>
      <c r="W214" s="64"/>
      <c r="Y214" s="63"/>
      <c r="Z214" s="63"/>
      <c r="AA214" s="63"/>
    </row>
    <row r="215" spans="1:27" s="65" customFormat="1">
      <c r="A215" s="107" t="str">
        <f t="shared" si="128"/>
        <v>Per traktor i året</v>
      </c>
      <c r="B215" s="110"/>
      <c r="C215" s="111">
        <f t="shared" ref="C215:K215" si="130">+(C85+$D$20)/2</f>
        <v>93.923300511683948</v>
      </c>
      <c r="D215" s="111">
        <f t="shared" si="130"/>
        <v>137.8466010233679</v>
      </c>
      <c r="E215" s="111">
        <f t="shared" si="130"/>
        <v>176.76355143883464</v>
      </c>
      <c r="F215" s="111">
        <f t="shared" si="130"/>
        <v>219.01806858511287</v>
      </c>
      <c r="G215" s="112">
        <f t="shared" si="130"/>
        <v>261.27258573139102</v>
      </c>
      <c r="H215" s="111">
        <f t="shared" si="130"/>
        <v>299.73608122554265</v>
      </c>
      <c r="I215" s="111">
        <f t="shared" si="130"/>
        <v>341.35876142979981</v>
      </c>
      <c r="J215" s="111">
        <f t="shared" si="130"/>
        <v>382.98144163405692</v>
      </c>
      <c r="K215" s="111">
        <f t="shared" si="130"/>
        <v>424.60412183831403</v>
      </c>
      <c r="L215" s="64"/>
      <c r="M215" s="64"/>
      <c r="N215" s="64"/>
      <c r="P215" s="63"/>
      <c r="Q215" s="63"/>
      <c r="R215" s="63"/>
      <c r="U215" s="64"/>
      <c r="V215" s="64"/>
      <c r="W215" s="64"/>
      <c r="Y215" s="63"/>
      <c r="Z215" s="63"/>
      <c r="AA215" s="63"/>
    </row>
    <row r="216" spans="1:27" s="65" customFormat="1">
      <c r="A216" s="107" t="str">
        <f t="shared" si="128"/>
        <v>Dager våronn</v>
      </c>
      <c r="B216" s="110"/>
      <c r="C216" s="111">
        <f t="shared" ref="C216:K216" si="131">+C86/2</f>
        <v>1.9754274222630215</v>
      </c>
      <c r="D216" s="111">
        <f t="shared" si="131"/>
        <v>3.950854844526043</v>
      </c>
      <c r="E216" s="111">
        <f t="shared" si="131"/>
        <v>5.7360625704729715</v>
      </c>
      <c r="F216" s="111">
        <f t="shared" si="131"/>
        <v>7.6480834272972951</v>
      </c>
      <c r="G216" s="112">
        <f t="shared" si="131"/>
        <v>9.5601042841216177</v>
      </c>
      <c r="H216" s="111">
        <f t="shared" si="131"/>
        <v>11.316216502399183</v>
      </c>
      <c r="I216" s="111">
        <f t="shared" si="131"/>
        <v>13.202252586132381</v>
      </c>
      <c r="J216" s="111">
        <f t="shared" si="131"/>
        <v>15.08828866986558</v>
      </c>
      <c r="K216" s="111">
        <f t="shared" si="131"/>
        <v>16.974324753598772</v>
      </c>
      <c r="L216" s="30"/>
      <c r="M216" s="30"/>
      <c r="N216" s="64"/>
      <c r="P216" s="63"/>
      <c r="Q216" s="63"/>
      <c r="R216" s="63"/>
      <c r="U216" s="64"/>
      <c r="V216" s="64"/>
      <c r="W216" s="64"/>
      <c r="Y216" s="63"/>
      <c r="Z216" s="63"/>
      <c r="AA216" s="63"/>
    </row>
    <row r="217" spans="1:27" s="65" customFormat="1">
      <c r="A217" s="107" t="str">
        <f t="shared" si="128"/>
        <v>Kapasitet daa per. Dag</v>
      </c>
      <c r="B217" s="110"/>
      <c r="C217" s="111">
        <f t="shared" ref="C217:K217" si="132">+C206/C216</f>
        <v>101.24391194837361</v>
      </c>
      <c r="D217" s="111">
        <f t="shared" si="132"/>
        <v>101.24391194837361</v>
      </c>
      <c r="E217" s="111">
        <f t="shared" si="132"/>
        <v>104.60136942866831</v>
      </c>
      <c r="F217" s="111">
        <f t="shared" si="132"/>
        <v>104.60136942866831</v>
      </c>
      <c r="G217" s="112">
        <f t="shared" si="132"/>
        <v>104.60136942866832</v>
      </c>
      <c r="H217" s="111">
        <f t="shared" si="132"/>
        <v>106.04250985703435</v>
      </c>
      <c r="I217" s="111">
        <f t="shared" si="132"/>
        <v>106.04250985703433</v>
      </c>
      <c r="J217" s="111">
        <f t="shared" si="132"/>
        <v>106.04250985703432</v>
      </c>
      <c r="K217" s="111">
        <f t="shared" si="132"/>
        <v>106.04250985703435</v>
      </c>
      <c r="L217" s="30"/>
      <c r="M217" s="30"/>
      <c r="N217" s="64"/>
      <c r="P217" s="63"/>
      <c r="Q217" s="63"/>
      <c r="R217" s="63"/>
      <c r="U217" s="64"/>
      <c r="V217" s="64"/>
      <c r="W217" s="64"/>
      <c r="Y217" s="63"/>
      <c r="Z217" s="63"/>
      <c r="AA217" s="63"/>
    </row>
    <row r="218" spans="1:27" s="65" customFormat="1">
      <c r="A218" s="107" t="str">
        <f t="shared" si="128"/>
        <v>Levetid traktor</v>
      </c>
      <c r="B218" s="110"/>
      <c r="C218" s="111">
        <f t="shared" ref="C218:K218" si="133">IF(6000/C215&gt;12,12,6000/C215)</f>
        <v>12</v>
      </c>
      <c r="D218" s="111">
        <f t="shared" si="133"/>
        <v>12</v>
      </c>
      <c r="E218" s="111">
        <f t="shared" si="133"/>
        <v>12</v>
      </c>
      <c r="F218" s="111">
        <f t="shared" si="133"/>
        <v>12</v>
      </c>
      <c r="G218" s="112">
        <f t="shared" si="133"/>
        <v>12</v>
      </c>
      <c r="H218" s="111">
        <f t="shared" si="133"/>
        <v>12</v>
      </c>
      <c r="I218" s="111">
        <f t="shared" si="133"/>
        <v>12</v>
      </c>
      <c r="J218" s="111">
        <f t="shared" si="133"/>
        <v>12</v>
      </c>
      <c r="K218" s="111">
        <f t="shared" si="133"/>
        <v>12</v>
      </c>
      <c r="L218" s="64"/>
      <c r="M218" s="64"/>
      <c r="N218" s="64"/>
      <c r="P218" s="63"/>
      <c r="Q218" s="63"/>
      <c r="R218" s="63"/>
      <c r="U218" s="30"/>
      <c r="V218" s="30"/>
      <c r="W218" s="64"/>
      <c r="Y218" s="63"/>
      <c r="Z218" s="63"/>
      <c r="AA218" s="63"/>
    </row>
    <row r="219" spans="1:27" s="65" customFormat="1">
      <c r="A219" s="107" t="str">
        <f t="shared" si="128"/>
        <v>Brukstimer per år for redskapene i gjennomsnitt</v>
      </c>
      <c r="B219" s="110"/>
      <c r="C219" s="111">
        <f t="shared" ref="C219:K219" si="134">+C89</f>
        <v>9.1453439779576211</v>
      </c>
      <c r="D219" s="111">
        <f t="shared" si="134"/>
        <v>18.290687955915242</v>
      </c>
      <c r="E219" s="111">
        <f t="shared" si="134"/>
        <v>26.130410400523679</v>
      </c>
      <c r="F219" s="111">
        <f t="shared" si="134"/>
        <v>34.840547200698246</v>
      </c>
      <c r="G219" s="112">
        <f t="shared" si="134"/>
        <v>43.550684000872806</v>
      </c>
      <c r="H219" s="111">
        <f t="shared" si="134"/>
        <v>51.253162648947225</v>
      </c>
      <c r="I219" s="111">
        <f t="shared" si="134"/>
        <v>59.795356423771771</v>
      </c>
      <c r="J219" s="111">
        <f t="shared" si="134"/>
        <v>68.337550198596304</v>
      </c>
      <c r="K219" s="111">
        <f t="shared" si="134"/>
        <v>76.879743973420844</v>
      </c>
      <c r="L219" s="68"/>
      <c r="M219" s="68"/>
      <c r="N219" s="68"/>
      <c r="P219" s="63"/>
      <c r="Q219" s="63"/>
      <c r="R219" s="63"/>
      <c r="U219" s="30"/>
      <c r="V219" s="30"/>
      <c r="W219" s="64"/>
      <c r="Y219" s="63"/>
      <c r="Z219" s="63"/>
      <c r="AA219" s="63"/>
    </row>
    <row r="220" spans="1:27" s="65" customFormat="1">
      <c r="A220" s="107" t="str">
        <f t="shared" si="128"/>
        <v>Levetid redskaper</v>
      </c>
      <c r="B220" s="110"/>
      <c r="C220" s="111">
        <f t="shared" ref="C220:K220" si="135">+C91</f>
        <v>12.892142385738751</v>
      </c>
      <c r="D220" s="111">
        <f t="shared" si="135"/>
        <v>15.267252009656346</v>
      </c>
      <c r="E220" s="111">
        <f t="shared" si="135"/>
        <v>17.482572028390692</v>
      </c>
      <c r="F220" s="111">
        <f t="shared" si="135"/>
        <v>19.971012993332209</v>
      </c>
      <c r="G220" s="112">
        <f t="shared" si="135"/>
        <v>22.539453958273711</v>
      </c>
      <c r="H220" s="111">
        <f t="shared" si="135"/>
        <v>25.026683241357233</v>
      </c>
      <c r="I220" s="111">
        <f t="shared" si="135"/>
        <v>27.735092354344474</v>
      </c>
      <c r="J220" s="111">
        <f t="shared" si="135"/>
        <v>30.523501467331684</v>
      </c>
      <c r="K220" s="111">
        <f t="shared" si="135"/>
        <v>33.391910580318907</v>
      </c>
      <c r="L220" s="75"/>
      <c r="M220" s="75"/>
      <c r="N220" s="76"/>
      <c r="P220" s="63"/>
      <c r="Q220" s="63"/>
      <c r="R220" s="63"/>
      <c r="U220" s="64"/>
      <c r="V220" s="64"/>
      <c r="W220" s="64"/>
      <c r="Y220" s="63"/>
      <c r="Z220" s="63"/>
      <c r="AA220" s="63"/>
    </row>
    <row r="221" spans="1:27" s="69" customFormat="1">
      <c r="A221" s="107" t="str">
        <f t="shared" si="128"/>
        <v>Tap i prosent</v>
      </c>
      <c r="B221" s="119"/>
      <c r="C221" s="116">
        <f t="shared" ref="C221:K221" si="136">100-($N$7+$N$8*$D$22+$N$9*C217+$N$10*C206+$N$11*$D$22*C206+$N$12*C217^2+$N$13*C217*C206+$N$14*C206^2+$N$15*$D$22*C217*C206)</f>
        <v>11.069932372887862</v>
      </c>
      <c r="D221" s="116">
        <f t="shared" si="136"/>
        <v>12.037751620723057</v>
      </c>
      <c r="E221" s="116">
        <f t="shared" si="136"/>
        <v>12.967791292387048</v>
      </c>
      <c r="F221" s="116">
        <f t="shared" si="136"/>
        <v>14.002273222270077</v>
      </c>
      <c r="G221" s="116">
        <f t="shared" si="136"/>
        <v>15.11675515215309</v>
      </c>
      <c r="H221" s="116">
        <f t="shared" si="136"/>
        <v>16.147731257678373</v>
      </c>
      <c r="I221" s="116">
        <f t="shared" si="136"/>
        <v>17.38214948365281</v>
      </c>
      <c r="J221" s="116">
        <f t="shared" si="136"/>
        <v>18.696567709627274</v>
      </c>
      <c r="K221" s="116">
        <f t="shared" si="136"/>
        <v>20.090985935601708</v>
      </c>
      <c r="L221" s="64"/>
      <c r="M221" s="64"/>
      <c r="N221" s="64"/>
      <c r="P221" s="70"/>
      <c r="Q221" s="70"/>
      <c r="R221" s="70"/>
      <c r="U221" s="68"/>
      <c r="V221" s="68"/>
      <c r="W221" s="68"/>
      <c r="Y221" s="70"/>
      <c r="Z221" s="70"/>
      <c r="AA221" s="70"/>
    </row>
    <row r="222" spans="1:27" s="77" customFormat="1" ht="14.4" customHeight="1">
      <c r="A222" s="117"/>
      <c r="B222" s="117"/>
      <c r="C222" s="118"/>
      <c r="D222" s="118"/>
      <c r="E222" s="118"/>
      <c r="F222" s="118"/>
      <c r="G222" s="118"/>
      <c r="H222" s="118"/>
      <c r="I222" s="118"/>
      <c r="J222" s="118"/>
      <c r="K222" s="118"/>
      <c r="L222" s="64"/>
      <c r="M222" s="64"/>
      <c r="N222" s="64"/>
      <c r="P222" s="78"/>
      <c r="U222" s="75"/>
      <c r="V222" s="75"/>
      <c r="W222" s="76"/>
      <c r="Y222" s="78"/>
    </row>
    <row r="223" spans="1:27" s="65" customFormat="1">
      <c r="A223" s="107"/>
      <c r="B223" s="114"/>
      <c r="C223" s="111"/>
      <c r="D223" s="111"/>
      <c r="E223" s="111"/>
      <c r="F223" s="111"/>
      <c r="G223" s="112"/>
      <c r="H223" s="111"/>
      <c r="I223" s="111"/>
      <c r="J223" s="111"/>
      <c r="K223" s="111"/>
      <c r="L223" s="64"/>
      <c r="M223" s="64"/>
      <c r="N223" s="64"/>
      <c r="P223" s="63"/>
      <c r="Q223" s="63"/>
      <c r="R223" s="63"/>
      <c r="U223" s="64"/>
      <c r="V223" s="64"/>
      <c r="W223" s="64"/>
      <c r="Y223" s="63"/>
      <c r="Z223" s="63"/>
      <c r="AA223" s="63"/>
    </row>
    <row r="224" spans="1:27" s="65" customFormat="1">
      <c r="A224" s="107"/>
      <c r="B224" s="114"/>
      <c r="C224" s="111"/>
      <c r="D224" s="111"/>
      <c r="E224" s="111"/>
      <c r="F224" s="111"/>
      <c r="G224" s="112"/>
      <c r="H224" s="111"/>
      <c r="I224" s="111"/>
      <c r="J224" s="111"/>
      <c r="K224" s="111"/>
      <c r="L224" s="64"/>
      <c r="M224" s="64"/>
      <c r="N224" s="64"/>
      <c r="P224" s="63"/>
      <c r="Q224" s="63"/>
      <c r="R224" s="63"/>
      <c r="U224" s="64"/>
      <c r="V224" s="64"/>
      <c r="W224" s="64"/>
      <c r="Y224" s="63"/>
      <c r="Z224" s="63"/>
      <c r="AA224" s="63"/>
    </row>
    <row r="225" spans="1:27" s="65" customFormat="1">
      <c r="A225" s="107" t="s">
        <v>37</v>
      </c>
      <c r="B225" s="114"/>
      <c r="C225" s="111" t="str">
        <f t="shared" ref="C225:G225" si="137">+C95</f>
        <v/>
      </c>
      <c r="D225" s="111" t="str">
        <f t="shared" si="137"/>
        <v/>
      </c>
      <c r="E225" s="111" t="str">
        <f t="shared" si="137"/>
        <v/>
      </c>
      <c r="F225" s="111" t="str">
        <f t="shared" si="137"/>
        <v/>
      </c>
      <c r="G225" s="112" t="str">
        <f t="shared" si="137"/>
        <v/>
      </c>
      <c r="H225" s="111"/>
      <c r="I225" s="111"/>
      <c r="J225" s="111"/>
      <c r="K225" s="111"/>
      <c r="L225" s="64"/>
      <c r="M225" s="64"/>
      <c r="N225" s="64"/>
      <c r="P225" s="63"/>
      <c r="Q225" s="63"/>
      <c r="R225" s="63"/>
      <c r="U225" s="64"/>
      <c r="V225" s="64"/>
      <c r="W225" s="64"/>
      <c r="Y225" s="63"/>
      <c r="Z225" s="63"/>
      <c r="AA225" s="63"/>
    </row>
    <row r="226" spans="1:27" s="65" customFormat="1">
      <c r="A226" s="107" t="s">
        <v>4</v>
      </c>
      <c r="B226" s="114"/>
      <c r="C226" s="111">
        <v>200</v>
      </c>
      <c r="D226" s="111">
        <v>400</v>
      </c>
      <c r="E226" s="111">
        <v>600</v>
      </c>
      <c r="F226" s="111">
        <v>800</v>
      </c>
      <c r="G226" s="112">
        <v>1000</v>
      </c>
      <c r="H226" s="111">
        <v>1200</v>
      </c>
      <c r="I226" s="111">
        <v>1400</v>
      </c>
      <c r="J226" s="111">
        <v>1600</v>
      </c>
      <c r="K226" s="111">
        <v>1800</v>
      </c>
      <c r="L226" s="64"/>
      <c r="M226" s="64"/>
      <c r="N226" s="64"/>
      <c r="P226" s="63"/>
      <c r="Q226" s="63"/>
      <c r="R226" s="63"/>
      <c r="U226" s="64"/>
      <c r="V226" s="64"/>
      <c r="W226" s="64"/>
      <c r="Y226" s="63"/>
      <c r="Z226" s="63"/>
      <c r="AA226" s="63"/>
    </row>
    <row r="227" spans="1:27" s="65" customFormat="1">
      <c r="A227" s="107"/>
      <c r="B227" s="114"/>
      <c r="C227" s="111"/>
      <c r="D227" s="111"/>
      <c r="E227" s="111"/>
      <c r="F227" s="111"/>
      <c r="G227" s="112"/>
      <c r="H227" s="111"/>
      <c r="I227" s="111"/>
      <c r="J227" s="111"/>
      <c r="K227" s="111"/>
      <c r="L227" s="64"/>
      <c r="M227" s="64"/>
      <c r="N227" s="64"/>
      <c r="P227" s="63"/>
      <c r="Q227" s="63"/>
      <c r="R227" s="63"/>
      <c r="U227" s="64"/>
      <c r="V227" s="64"/>
      <c r="W227" s="64"/>
      <c r="Y227" s="63"/>
      <c r="Z227" s="63"/>
      <c r="AA227" s="63"/>
    </row>
    <row r="228" spans="1:27" s="65" customFormat="1">
      <c r="A228" s="107" t="s">
        <v>81</v>
      </c>
      <c r="B228" s="110"/>
      <c r="C228" s="111">
        <f t="shared" ref="C228:K234" si="138">+C98</f>
        <v>12.079920755719842</v>
      </c>
      <c r="D228" s="111">
        <f t="shared" si="138"/>
        <v>24.159841511439684</v>
      </c>
      <c r="E228" s="111">
        <f t="shared" si="138"/>
        <v>33.916700583367245</v>
      </c>
      <c r="F228" s="111">
        <f t="shared" si="138"/>
        <v>45.222267444489667</v>
      </c>
      <c r="G228" s="112">
        <f t="shared" si="138"/>
        <v>56.527834305612082</v>
      </c>
      <c r="H228" s="111">
        <f t="shared" si="138"/>
        <v>66.137566137566125</v>
      </c>
      <c r="I228" s="111">
        <f t="shared" si="138"/>
        <v>77.160493827160494</v>
      </c>
      <c r="J228" s="111">
        <f t="shared" si="138"/>
        <v>88.183421516754848</v>
      </c>
      <c r="K228" s="111">
        <f t="shared" si="138"/>
        <v>99.206349206349188</v>
      </c>
      <c r="L228" s="64"/>
      <c r="M228" s="64"/>
      <c r="N228" s="64"/>
      <c r="P228" s="63"/>
      <c r="Q228" s="63"/>
      <c r="R228" s="63"/>
      <c r="U228" s="64"/>
      <c r="V228" s="64"/>
      <c r="W228" s="64"/>
      <c r="Y228" s="63"/>
      <c r="Z228" s="63"/>
      <c r="AA228" s="63"/>
    </row>
    <row r="229" spans="1:27" s="65" customFormat="1">
      <c r="A229" s="107" t="s">
        <v>82</v>
      </c>
      <c r="B229" s="110"/>
      <c r="C229" s="111">
        <f t="shared" si="138"/>
        <v>0</v>
      </c>
      <c r="D229" s="111">
        <f t="shared" si="138"/>
        <v>0</v>
      </c>
      <c r="E229" s="111">
        <f t="shared" si="138"/>
        <v>0</v>
      </c>
      <c r="F229" s="111">
        <f t="shared" si="138"/>
        <v>0</v>
      </c>
      <c r="G229" s="112">
        <f t="shared" si="138"/>
        <v>0</v>
      </c>
      <c r="H229" s="111">
        <f t="shared" si="138"/>
        <v>0</v>
      </c>
      <c r="I229" s="111">
        <f t="shared" si="138"/>
        <v>0</v>
      </c>
      <c r="J229" s="111">
        <f t="shared" si="138"/>
        <v>0</v>
      </c>
      <c r="K229" s="111">
        <f t="shared" si="138"/>
        <v>0</v>
      </c>
      <c r="L229" s="64"/>
      <c r="M229" s="64"/>
      <c r="N229" s="64"/>
      <c r="P229" s="63"/>
      <c r="Q229" s="63"/>
      <c r="R229" s="63"/>
      <c r="U229" s="64"/>
      <c r="V229" s="64"/>
      <c r="W229" s="64"/>
      <c r="Y229" s="63"/>
      <c r="Z229" s="63"/>
      <c r="AA229" s="63"/>
    </row>
    <row r="230" spans="1:27" s="65" customFormat="1">
      <c r="A230" s="107" t="s">
        <v>83</v>
      </c>
      <c r="B230" s="110"/>
      <c r="C230" s="111">
        <f t="shared" si="138"/>
        <v>3.7014088302289623</v>
      </c>
      <c r="D230" s="111">
        <f t="shared" si="138"/>
        <v>7.4028176604579246</v>
      </c>
      <c r="E230" s="111">
        <f t="shared" si="138"/>
        <v>10.595254650323488</v>
      </c>
      <c r="F230" s="111">
        <f t="shared" si="138"/>
        <v>14.127006200431314</v>
      </c>
      <c r="G230" s="112">
        <f t="shared" si="138"/>
        <v>17.658757750539145</v>
      </c>
      <c r="H230" s="111">
        <f t="shared" si="138"/>
        <v>20.776247347457545</v>
      </c>
      <c r="I230" s="111">
        <f t="shared" si="138"/>
        <v>24.23895523870047</v>
      </c>
      <c r="J230" s="111">
        <f t="shared" si="138"/>
        <v>27.701663129943391</v>
      </c>
      <c r="K230" s="111">
        <f t="shared" si="138"/>
        <v>31.164371021186312</v>
      </c>
      <c r="L230" s="64"/>
      <c r="M230" s="64"/>
      <c r="N230" s="64"/>
      <c r="P230" s="63"/>
      <c r="Q230" s="63"/>
      <c r="R230" s="63"/>
      <c r="U230" s="64"/>
      <c r="V230" s="64"/>
      <c r="W230" s="64"/>
      <c r="Y230" s="63"/>
      <c r="Z230" s="63"/>
      <c r="AA230" s="63"/>
    </row>
    <row r="231" spans="1:27" s="65" customFormat="1">
      <c r="A231" s="107" t="s">
        <v>84</v>
      </c>
      <c r="B231" s="110"/>
      <c r="C231" s="111">
        <f t="shared" si="138"/>
        <v>16.586966293625796</v>
      </c>
      <c r="D231" s="111">
        <f t="shared" si="138"/>
        <v>33.173932587251592</v>
      </c>
      <c r="E231" s="111">
        <f t="shared" si="138"/>
        <v>47.410441675674647</v>
      </c>
      <c r="F231" s="111">
        <f t="shared" si="138"/>
        <v>63.213922234232875</v>
      </c>
      <c r="G231" s="112">
        <f t="shared" si="138"/>
        <v>79.017402792791088</v>
      </c>
      <c r="H231" s="111">
        <f t="shared" si="138"/>
        <v>92.894499716671788</v>
      </c>
      <c r="I231" s="111">
        <f t="shared" si="138"/>
        <v>108.37691633611709</v>
      </c>
      <c r="J231" s="111">
        <f t="shared" si="138"/>
        <v>123.85933295556239</v>
      </c>
      <c r="K231" s="111">
        <f t="shared" si="138"/>
        <v>139.34174957500767</v>
      </c>
      <c r="L231" s="30"/>
      <c r="M231" s="30"/>
      <c r="N231" s="64"/>
      <c r="P231" s="63"/>
      <c r="Q231" s="63"/>
      <c r="R231" s="63"/>
      <c r="U231" s="64"/>
      <c r="V231" s="64"/>
      <c r="W231" s="64"/>
      <c r="Y231" s="63"/>
      <c r="Z231" s="63"/>
      <c r="AA231" s="63"/>
    </row>
    <row r="232" spans="1:27" s="65" customFormat="1">
      <c r="A232" s="107" t="s">
        <v>85</v>
      </c>
      <c r="B232" s="110"/>
      <c r="C232" s="111">
        <f t="shared" si="138"/>
        <v>4.7445515645573932</v>
      </c>
      <c r="D232" s="111">
        <f t="shared" si="138"/>
        <v>9.4891031291147865</v>
      </c>
      <c r="E232" s="111">
        <f t="shared" si="138"/>
        <v>13.55104441287051</v>
      </c>
      <c r="F232" s="111">
        <f t="shared" si="138"/>
        <v>18.068059217160684</v>
      </c>
      <c r="G232" s="112">
        <f t="shared" si="138"/>
        <v>22.585074021450851</v>
      </c>
      <c r="H232" s="111">
        <f t="shared" si="138"/>
        <v>26.539621498553089</v>
      </c>
      <c r="I232" s="111">
        <f t="shared" si="138"/>
        <v>30.962891748311939</v>
      </c>
      <c r="J232" s="111">
        <f t="shared" si="138"/>
        <v>35.38616199807079</v>
      </c>
      <c r="K232" s="111">
        <f t="shared" si="138"/>
        <v>39.809432247829641</v>
      </c>
      <c r="L232" s="64"/>
      <c r="M232" s="64"/>
      <c r="N232" s="64"/>
      <c r="P232" s="63"/>
      <c r="Q232" s="63"/>
      <c r="R232" s="63"/>
      <c r="U232" s="64"/>
      <c r="V232" s="64"/>
      <c r="W232" s="64"/>
      <c r="Y232" s="63"/>
      <c r="Z232" s="63"/>
      <c r="AA232" s="63"/>
    </row>
    <row r="233" spans="1:27" s="65" customFormat="1">
      <c r="A233" s="107" t="str">
        <f>+A63</f>
        <v>Annet kjøring for øvrig i året</v>
      </c>
      <c r="B233" s="110"/>
      <c r="C233" s="111">
        <f t="shared" si="138"/>
        <v>32.07992075571984</v>
      </c>
      <c r="D233" s="111">
        <f t="shared" si="138"/>
        <v>64.15984151143968</v>
      </c>
      <c r="E233" s="111">
        <f t="shared" si="138"/>
        <v>93.916700583367245</v>
      </c>
      <c r="F233" s="111">
        <f t="shared" si="138"/>
        <v>125.22226744448966</v>
      </c>
      <c r="G233" s="112">
        <f t="shared" si="138"/>
        <v>156.52783430561209</v>
      </c>
      <c r="H233" s="111">
        <f t="shared" si="138"/>
        <v>186.13756613756613</v>
      </c>
      <c r="I233" s="111">
        <f t="shared" si="138"/>
        <v>217.16049382716051</v>
      </c>
      <c r="J233" s="111">
        <f t="shared" si="138"/>
        <v>248.18342151675483</v>
      </c>
      <c r="K233" s="111">
        <f t="shared" si="138"/>
        <v>279.20634920634916</v>
      </c>
      <c r="L233" s="64"/>
      <c r="M233" s="64"/>
      <c r="N233" s="64"/>
      <c r="P233" s="63"/>
      <c r="Q233" s="63"/>
      <c r="R233" s="63"/>
      <c r="U233" s="30"/>
      <c r="V233" s="30"/>
      <c r="W233" s="64"/>
      <c r="Y233" s="63"/>
      <c r="Z233" s="63"/>
      <c r="AA233" s="63"/>
    </row>
    <row r="234" spans="1:27" s="65" customFormat="1">
      <c r="A234" s="107" t="str">
        <f>+A64</f>
        <v>Sum våronnkjøring inkludert 2 timer diverse per 100 dekar</v>
      </c>
      <c r="B234" s="110"/>
      <c r="C234" s="111">
        <f t="shared" si="138"/>
        <v>29.032926688412154</v>
      </c>
      <c r="D234" s="111">
        <f t="shared" si="138"/>
        <v>58.065853376824307</v>
      </c>
      <c r="E234" s="111">
        <f t="shared" si="138"/>
        <v>83.556740738868655</v>
      </c>
      <c r="F234" s="111">
        <f t="shared" si="138"/>
        <v>111.40898765182487</v>
      </c>
      <c r="G234" s="112">
        <f t="shared" si="138"/>
        <v>139.26123456478109</v>
      </c>
      <c r="H234" s="111">
        <f t="shared" si="138"/>
        <v>164.21036856268242</v>
      </c>
      <c r="I234" s="111">
        <f t="shared" si="138"/>
        <v>191.57876332312949</v>
      </c>
      <c r="J234" s="111">
        <f t="shared" si="138"/>
        <v>218.9471580835766</v>
      </c>
      <c r="K234" s="111">
        <f t="shared" si="138"/>
        <v>246.31555284402361</v>
      </c>
      <c r="L234" s="64"/>
      <c r="M234" s="64"/>
      <c r="N234" s="64"/>
      <c r="P234" s="63"/>
      <c r="Q234" s="63"/>
      <c r="R234" s="63"/>
      <c r="U234" s="64"/>
      <c r="V234" s="64"/>
      <c r="W234" s="64"/>
      <c r="Y234" s="63"/>
      <c r="Z234" s="63"/>
      <c r="AA234" s="63"/>
    </row>
    <row r="235" spans="1:27" s="65" customFormat="1">
      <c r="A235" s="107" t="s">
        <v>72</v>
      </c>
      <c r="B235" s="110"/>
      <c r="C235" s="111">
        <f t="shared" ref="C235:K235" si="139">+(C105+$D$20)/2</f>
        <v>86.596384099925928</v>
      </c>
      <c r="D235" s="111">
        <f t="shared" si="139"/>
        <v>123.19276819985184</v>
      </c>
      <c r="E235" s="111">
        <f t="shared" si="139"/>
        <v>155.69507095280156</v>
      </c>
      <c r="F235" s="111">
        <f t="shared" si="139"/>
        <v>190.9267612704021</v>
      </c>
      <c r="G235" s="112">
        <f t="shared" si="139"/>
        <v>226.15845158800263</v>
      </c>
      <c r="H235" s="111">
        <f t="shared" si="139"/>
        <v>258.24275041890735</v>
      </c>
      <c r="I235" s="111">
        <f t="shared" si="139"/>
        <v>292.94987548872524</v>
      </c>
      <c r="J235" s="111">
        <f t="shared" si="139"/>
        <v>327.65700055854313</v>
      </c>
      <c r="K235" s="111">
        <f t="shared" si="139"/>
        <v>362.36412562836097</v>
      </c>
      <c r="L235" s="64"/>
      <c r="M235" s="64"/>
      <c r="N235" s="64"/>
      <c r="P235" s="63"/>
      <c r="Q235" s="63"/>
      <c r="R235" s="63"/>
      <c r="U235" s="64"/>
      <c r="V235" s="64"/>
      <c r="W235" s="64"/>
      <c r="Y235" s="63"/>
      <c r="Z235" s="63"/>
      <c r="AA235" s="63"/>
    </row>
    <row r="236" spans="1:27" s="65" customFormat="1">
      <c r="A236" s="107" t="str">
        <f>+A66</f>
        <v>Dager våronn</v>
      </c>
      <c r="B236" s="110"/>
      <c r="C236" s="111">
        <f t="shared" ref="C236:K236" si="140">+C106/2</f>
        <v>1.8145579180257596</v>
      </c>
      <c r="D236" s="111">
        <f t="shared" si="140"/>
        <v>3.6291158360515192</v>
      </c>
      <c r="E236" s="111">
        <f t="shared" si="140"/>
        <v>5.2222962961792909</v>
      </c>
      <c r="F236" s="111">
        <f t="shared" si="140"/>
        <v>6.9630617282390546</v>
      </c>
      <c r="G236" s="112">
        <f t="shared" si="140"/>
        <v>8.7038271602988182</v>
      </c>
      <c r="H236" s="111">
        <f t="shared" si="140"/>
        <v>10.263148035167651</v>
      </c>
      <c r="I236" s="111">
        <f t="shared" si="140"/>
        <v>11.973672707695593</v>
      </c>
      <c r="J236" s="111">
        <f t="shared" si="140"/>
        <v>13.684197380223537</v>
      </c>
      <c r="K236" s="111">
        <f t="shared" si="140"/>
        <v>15.394722052751476</v>
      </c>
      <c r="L236" s="30"/>
      <c r="M236" s="30"/>
      <c r="N236" s="64"/>
      <c r="P236" s="63"/>
      <c r="Q236" s="63"/>
      <c r="R236" s="63"/>
      <c r="U236" s="64"/>
      <c r="V236" s="64"/>
      <c r="W236" s="64"/>
      <c r="Y236" s="63"/>
      <c r="Z236" s="63"/>
      <c r="AA236" s="63"/>
    </row>
    <row r="237" spans="1:27" s="65" customFormat="1">
      <c r="A237" s="107" t="str">
        <f>+A67</f>
        <v>Kapasitet daa per. Dag</v>
      </c>
      <c r="B237" s="110"/>
      <c r="C237" s="111">
        <f t="shared" ref="C237:K237" si="141">+C226/C236</f>
        <v>110.21968382117015</v>
      </c>
      <c r="D237" s="111">
        <f t="shared" si="141"/>
        <v>110.21968382117015</v>
      </c>
      <c r="E237" s="111">
        <f t="shared" si="141"/>
        <v>114.89198735027135</v>
      </c>
      <c r="F237" s="111">
        <f t="shared" si="141"/>
        <v>114.89198735027135</v>
      </c>
      <c r="G237" s="112">
        <f t="shared" si="141"/>
        <v>114.89198735027135</v>
      </c>
      <c r="H237" s="111">
        <f t="shared" si="141"/>
        <v>116.92318924837545</v>
      </c>
      <c r="I237" s="111">
        <f t="shared" si="141"/>
        <v>116.92318924837545</v>
      </c>
      <c r="J237" s="111">
        <f t="shared" si="141"/>
        <v>116.92318924837544</v>
      </c>
      <c r="K237" s="111">
        <f t="shared" si="141"/>
        <v>116.92318924837546</v>
      </c>
      <c r="L237" s="30"/>
      <c r="M237" s="30"/>
      <c r="N237" s="64"/>
      <c r="P237" s="63"/>
      <c r="Q237" s="63"/>
      <c r="R237" s="63"/>
      <c r="U237" s="64"/>
      <c r="V237" s="64"/>
      <c r="W237" s="64"/>
      <c r="Y237" s="63"/>
      <c r="Z237" s="63"/>
      <c r="AA237" s="63"/>
    </row>
    <row r="238" spans="1:27" s="65" customFormat="1">
      <c r="A238" s="107" t="str">
        <f>+A68</f>
        <v>Levetid traktor</v>
      </c>
      <c r="B238" s="110"/>
      <c r="C238" s="111">
        <f t="shared" ref="C238:K238" si="142">IF(6000/C235&gt;12,12,6000/C235)</f>
        <v>12</v>
      </c>
      <c r="D238" s="111">
        <f t="shared" si="142"/>
        <v>12</v>
      </c>
      <c r="E238" s="111">
        <f t="shared" si="142"/>
        <v>12</v>
      </c>
      <c r="F238" s="111">
        <f t="shared" si="142"/>
        <v>12</v>
      </c>
      <c r="G238" s="112">
        <f t="shared" si="142"/>
        <v>12</v>
      </c>
      <c r="H238" s="111">
        <f t="shared" si="142"/>
        <v>12</v>
      </c>
      <c r="I238" s="111">
        <f t="shared" si="142"/>
        <v>12</v>
      </c>
      <c r="J238" s="111">
        <f t="shared" si="142"/>
        <v>12</v>
      </c>
      <c r="K238" s="111">
        <f t="shared" si="142"/>
        <v>12</v>
      </c>
      <c r="L238" s="30"/>
      <c r="M238" s="30"/>
      <c r="N238" s="64"/>
      <c r="P238" s="63"/>
      <c r="Q238" s="63"/>
      <c r="R238" s="63"/>
      <c r="U238" s="30"/>
      <c r="V238" s="30"/>
      <c r="W238" s="64"/>
      <c r="Y238" s="63"/>
      <c r="Z238" s="63"/>
      <c r="AA238" s="63"/>
    </row>
    <row r="239" spans="1:27" s="65" customFormat="1">
      <c r="A239" s="107" t="s">
        <v>74</v>
      </c>
      <c r="B239" s="114"/>
      <c r="C239" s="120">
        <f t="shared" ref="C239:K239" si="143">AVERAGE(C228:C232)</f>
        <v>7.4225694888263991</v>
      </c>
      <c r="D239" s="120">
        <f t="shared" si="143"/>
        <v>14.845138977652798</v>
      </c>
      <c r="E239" s="120">
        <f t="shared" si="143"/>
        <v>21.094688264447178</v>
      </c>
      <c r="F239" s="120">
        <f t="shared" si="143"/>
        <v>28.126251019262906</v>
      </c>
      <c r="G239" s="118">
        <f t="shared" si="143"/>
        <v>35.157813774078633</v>
      </c>
      <c r="H239" s="120">
        <f t="shared" si="143"/>
        <v>41.269586940049706</v>
      </c>
      <c r="I239" s="120">
        <f t="shared" si="143"/>
        <v>48.147851430057997</v>
      </c>
      <c r="J239" s="120">
        <f t="shared" si="143"/>
        <v>55.026115920066289</v>
      </c>
      <c r="K239" s="120">
        <f t="shared" si="143"/>
        <v>61.904380410074566</v>
      </c>
      <c r="L239" s="68"/>
      <c r="M239" s="68"/>
      <c r="N239" s="68"/>
      <c r="P239" s="63"/>
      <c r="Q239" s="63"/>
      <c r="R239" s="63"/>
      <c r="U239" s="30"/>
      <c r="V239" s="30"/>
      <c r="W239" s="64"/>
      <c r="Y239" s="63"/>
      <c r="Z239" s="63"/>
      <c r="AA239" s="63"/>
    </row>
    <row r="240" spans="1:27" s="65" customFormat="1">
      <c r="A240" s="107" t="str">
        <f>+A70</f>
        <v>Levetid redskaper</v>
      </c>
      <c r="B240" s="110"/>
      <c r="C240" s="120">
        <f t="shared" ref="C240:K240" si="144">IF(650/C239&gt;15,15,650/C239)</f>
        <v>15</v>
      </c>
      <c r="D240" s="120">
        <f t="shared" si="144"/>
        <v>15</v>
      </c>
      <c r="E240" s="120">
        <f t="shared" si="144"/>
        <v>15</v>
      </c>
      <c r="F240" s="120">
        <f t="shared" si="144"/>
        <v>15</v>
      </c>
      <c r="G240" s="118">
        <f t="shared" si="144"/>
        <v>15</v>
      </c>
      <c r="H240" s="120">
        <f t="shared" si="144"/>
        <v>15</v>
      </c>
      <c r="I240" s="120">
        <f t="shared" si="144"/>
        <v>13.500083195700286</v>
      </c>
      <c r="J240" s="120">
        <f t="shared" si="144"/>
        <v>11.812572796237749</v>
      </c>
      <c r="K240" s="120">
        <f t="shared" si="144"/>
        <v>10.50006470776689</v>
      </c>
      <c r="L240" s="75"/>
      <c r="M240" s="75"/>
      <c r="N240" s="76"/>
      <c r="P240" s="63"/>
      <c r="Q240" s="63"/>
      <c r="R240" s="63"/>
      <c r="U240" s="30"/>
      <c r="V240" s="30"/>
      <c r="W240" s="64"/>
      <c r="Y240" s="63"/>
      <c r="Z240" s="63"/>
      <c r="AA240" s="63"/>
    </row>
    <row r="241" spans="1:27" s="69" customFormat="1">
      <c r="A241" s="107" t="s">
        <v>43</v>
      </c>
      <c r="B241" s="121"/>
      <c r="C241" s="116">
        <f t="shared" ref="C241:K241" si="145">100-($N$7+$N$8*$D$22+$N$9*C237+$N$10*C226+$N$11*$D$22*C226+$N$12*C237^2+$N$13*C237*C226+$N$14*C226^2+$N$15*$D$22*C237*C226)</f>
        <v>11.306914155487561</v>
      </c>
      <c r="D241" s="116">
        <f t="shared" si="145"/>
        <v>12.025206945259029</v>
      </c>
      <c r="E241" s="116">
        <f t="shared" si="145"/>
        <v>12.75384465890977</v>
      </c>
      <c r="F241" s="116">
        <f t="shared" si="145"/>
        <v>13.502247410572238</v>
      </c>
      <c r="G241" s="116">
        <f t="shared" si="145"/>
        <v>14.330650162234676</v>
      </c>
      <c r="H241" s="116">
        <f t="shared" si="145"/>
        <v>15.053625487702547</v>
      </c>
      <c r="I241" s="116">
        <f t="shared" si="145"/>
        <v>15.98556082659772</v>
      </c>
      <c r="J241" s="116">
        <f t="shared" si="145"/>
        <v>16.997496165492876</v>
      </c>
      <c r="K241" s="116">
        <f t="shared" si="145"/>
        <v>18.08943150438806</v>
      </c>
      <c r="L241" s="64"/>
      <c r="M241" s="64"/>
      <c r="N241" s="64"/>
      <c r="P241" s="70"/>
      <c r="Q241" s="70"/>
      <c r="R241" s="70"/>
      <c r="U241" s="68"/>
      <c r="V241" s="68"/>
      <c r="W241" s="68"/>
      <c r="Y241" s="70"/>
      <c r="Z241" s="70"/>
      <c r="AA241" s="70"/>
    </row>
    <row r="242" spans="1:27" s="77" customFormat="1" ht="14.4" customHeight="1">
      <c r="A242" s="117"/>
      <c r="B242" s="117"/>
      <c r="C242" s="118"/>
      <c r="D242" s="118"/>
      <c r="E242" s="118"/>
      <c r="F242" s="118"/>
      <c r="G242" s="118"/>
      <c r="H242" s="118"/>
      <c r="I242" s="118"/>
      <c r="J242" s="118"/>
      <c r="K242" s="118"/>
      <c r="L242" s="64"/>
      <c r="M242" s="64"/>
      <c r="N242" s="64"/>
      <c r="P242" s="78"/>
      <c r="U242" s="75"/>
      <c r="V242" s="75"/>
      <c r="W242" s="76"/>
      <c r="Y242" s="78"/>
    </row>
    <row r="243" spans="1:27" s="65" customFormat="1">
      <c r="A243" s="107"/>
      <c r="B243" s="110"/>
      <c r="C243" s="111"/>
      <c r="D243" s="111"/>
      <c r="E243" s="111"/>
      <c r="F243" s="111"/>
      <c r="G243" s="112"/>
      <c r="H243" s="111"/>
      <c r="I243" s="111"/>
      <c r="J243" s="111"/>
      <c r="K243" s="111"/>
      <c r="L243" s="64"/>
      <c r="M243" s="64"/>
      <c r="N243" s="64"/>
      <c r="P243" s="63"/>
      <c r="Q243" s="63"/>
      <c r="R243" s="63"/>
      <c r="U243" s="64"/>
      <c r="V243" s="64"/>
      <c r="W243" s="64"/>
      <c r="Y243" s="63"/>
      <c r="Z243" s="63"/>
      <c r="AA243" s="63"/>
    </row>
    <row r="244" spans="1:27" s="65" customFormat="1">
      <c r="A244" s="107"/>
      <c r="B244" s="110"/>
      <c r="C244" s="111"/>
      <c r="D244" s="111"/>
      <c r="E244" s="111"/>
      <c r="F244" s="111"/>
      <c r="G244" s="112"/>
      <c r="H244" s="111"/>
      <c r="I244" s="111"/>
      <c r="J244" s="111"/>
      <c r="K244" s="111"/>
      <c r="L244" s="64"/>
      <c r="M244" s="64"/>
      <c r="N244" s="64"/>
      <c r="P244" s="63"/>
      <c r="Q244" s="63"/>
      <c r="R244" s="63"/>
      <c r="U244" s="64"/>
      <c r="V244" s="64"/>
      <c r="W244" s="64"/>
      <c r="Y244" s="63"/>
      <c r="Z244" s="63"/>
      <c r="AA244" s="63"/>
    </row>
    <row r="245" spans="1:27" s="65" customFormat="1">
      <c r="A245" s="107"/>
      <c r="B245" s="110"/>
      <c r="C245" s="111"/>
      <c r="D245" s="111"/>
      <c r="E245" s="111"/>
      <c r="F245" s="111"/>
      <c r="G245" s="112"/>
      <c r="H245" s="111"/>
      <c r="I245" s="111"/>
      <c r="J245" s="111"/>
      <c r="K245" s="111"/>
      <c r="L245" s="64"/>
      <c r="M245" s="64"/>
      <c r="N245" s="64"/>
      <c r="P245" s="63"/>
      <c r="Q245" s="63"/>
      <c r="R245" s="63"/>
      <c r="U245" s="64"/>
      <c r="V245" s="64"/>
      <c r="W245" s="64"/>
      <c r="Y245" s="63"/>
      <c r="Z245" s="63"/>
      <c r="AA245" s="63"/>
    </row>
    <row r="246" spans="1:27" s="65" customFormat="1">
      <c r="A246" s="107" t="s">
        <v>4</v>
      </c>
      <c r="B246" s="110"/>
      <c r="C246" s="111">
        <v>200</v>
      </c>
      <c r="D246" s="111">
        <v>400</v>
      </c>
      <c r="E246" s="111">
        <v>600</v>
      </c>
      <c r="F246" s="111">
        <v>800</v>
      </c>
      <c r="G246" s="112">
        <v>1000</v>
      </c>
      <c r="H246" s="111">
        <v>1200</v>
      </c>
      <c r="I246" s="111">
        <v>1400</v>
      </c>
      <c r="J246" s="111">
        <v>1600</v>
      </c>
      <c r="K246" s="111">
        <v>1800</v>
      </c>
      <c r="L246" s="64"/>
      <c r="M246" s="64"/>
      <c r="N246" s="64"/>
      <c r="P246" s="63"/>
      <c r="Q246" s="63"/>
      <c r="R246" s="63"/>
      <c r="U246" s="64"/>
      <c r="V246" s="64"/>
      <c r="W246" s="64"/>
      <c r="Y246" s="63"/>
      <c r="Z246" s="63"/>
      <c r="AA246" s="63"/>
    </row>
    <row r="247" spans="1:27" s="65" customFormat="1">
      <c r="A247" s="107"/>
      <c r="B247" s="110"/>
      <c r="C247" s="111"/>
      <c r="D247" s="111"/>
      <c r="E247" s="111"/>
      <c r="F247" s="111"/>
      <c r="G247" s="112"/>
      <c r="H247" s="111"/>
      <c r="I247" s="111"/>
      <c r="J247" s="111"/>
      <c r="K247" s="111"/>
      <c r="L247" s="64"/>
      <c r="M247" s="64"/>
      <c r="N247" s="64"/>
      <c r="P247" s="63"/>
      <c r="Q247" s="63"/>
      <c r="R247" s="63"/>
      <c r="U247" s="64"/>
      <c r="V247" s="64"/>
      <c r="W247" s="64"/>
      <c r="Y247" s="63"/>
      <c r="Z247" s="63"/>
      <c r="AA247" s="63"/>
    </row>
    <row r="248" spans="1:27" s="65" customFormat="1">
      <c r="A248" s="107" t="s">
        <v>81</v>
      </c>
      <c r="B248" s="110"/>
      <c r="C248" s="111">
        <f t="shared" ref="C248:K253" si="146">+C118</f>
        <v>0</v>
      </c>
      <c r="D248" s="111">
        <f t="shared" si="146"/>
        <v>0</v>
      </c>
      <c r="E248" s="111">
        <f t="shared" si="146"/>
        <v>0</v>
      </c>
      <c r="F248" s="111">
        <f t="shared" si="146"/>
        <v>0</v>
      </c>
      <c r="G248" s="112">
        <f t="shared" si="146"/>
        <v>0</v>
      </c>
      <c r="H248" s="111">
        <f t="shared" si="146"/>
        <v>0</v>
      </c>
      <c r="I248" s="111">
        <f t="shared" si="146"/>
        <v>0</v>
      </c>
      <c r="J248" s="111">
        <f t="shared" si="146"/>
        <v>0</v>
      </c>
      <c r="K248" s="111">
        <f t="shared" si="146"/>
        <v>0</v>
      </c>
      <c r="L248" s="64"/>
      <c r="M248" s="64"/>
      <c r="N248" s="64"/>
      <c r="P248" s="63"/>
      <c r="Q248" s="63"/>
      <c r="R248" s="63"/>
      <c r="U248" s="64"/>
      <c r="V248" s="64"/>
      <c r="W248" s="64"/>
      <c r="Y248" s="63"/>
      <c r="Z248" s="63"/>
      <c r="AA248" s="63"/>
    </row>
    <row r="249" spans="1:27" s="65" customFormat="1">
      <c r="A249" s="107" t="s">
        <v>82</v>
      </c>
      <c r="B249" s="110"/>
      <c r="C249" s="111">
        <f t="shared" si="146"/>
        <v>0</v>
      </c>
      <c r="D249" s="111">
        <f t="shared" si="146"/>
        <v>0</v>
      </c>
      <c r="E249" s="111">
        <f t="shared" si="146"/>
        <v>0</v>
      </c>
      <c r="F249" s="111">
        <f t="shared" si="146"/>
        <v>0</v>
      </c>
      <c r="G249" s="112">
        <f t="shared" si="146"/>
        <v>0</v>
      </c>
      <c r="H249" s="111">
        <f t="shared" si="146"/>
        <v>0</v>
      </c>
      <c r="I249" s="111">
        <f t="shared" si="146"/>
        <v>0</v>
      </c>
      <c r="J249" s="111">
        <f t="shared" si="146"/>
        <v>0</v>
      </c>
      <c r="K249" s="111">
        <f t="shared" si="146"/>
        <v>0</v>
      </c>
      <c r="L249" s="64"/>
      <c r="M249" s="64"/>
      <c r="N249" s="64"/>
      <c r="P249" s="63"/>
      <c r="Q249" s="63"/>
      <c r="R249" s="63"/>
      <c r="U249" s="64"/>
      <c r="V249" s="64"/>
      <c r="W249" s="64"/>
      <c r="Y249" s="63"/>
      <c r="Z249" s="63"/>
      <c r="AA249" s="63"/>
    </row>
    <row r="250" spans="1:27" s="65" customFormat="1">
      <c r="A250" s="107" t="s">
        <v>83</v>
      </c>
      <c r="B250" s="110"/>
      <c r="C250" s="111">
        <f t="shared" si="146"/>
        <v>493.07607843137265</v>
      </c>
      <c r="D250" s="111">
        <f t="shared" si="146"/>
        <v>986.1521568627453</v>
      </c>
      <c r="E250" s="111">
        <f t="shared" si="146"/>
        <v>1479.2282352941177</v>
      </c>
      <c r="F250" s="111">
        <f t="shared" si="146"/>
        <v>1972.3043137254906</v>
      </c>
      <c r="G250" s="111">
        <f t="shared" si="146"/>
        <v>2465.3803921568629</v>
      </c>
      <c r="H250" s="111">
        <f t="shared" si="146"/>
        <v>2958.4564705882353</v>
      </c>
      <c r="I250" s="111">
        <f t="shared" si="146"/>
        <v>3451.5325490196083</v>
      </c>
      <c r="J250" s="111">
        <f t="shared" si="146"/>
        <v>3944.6086274509812</v>
      </c>
      <c r="K250" s="111">
        <f t="shared" si="146"/>
        <v>4437.6847058823541</v>
      </c>
      <c r="L250" s="64"/>
      <c r="M250" s="64"/>
      <c r="N250" s="64"/>
      <c r="P250" s="63"/>
      <c r="Q250" s="63"/>
      <c r="R250" s="63"/>
      <c r="U250" s="64"/>
      <c r="V250" s="64"/>
      <c r="W250" s="64"/>
      <c r="Y250" s="63"/>
      <c r="Z250" s="63"/>
      <c r="AA250" s="63"/>
    </row>
    <row r="251" spans="1:27" s="65" customFormat="1">
      <c r="A251" s="107" t="s">
        <v>84</v>
      </c>
      <c r="B251" s="110"/>
      <c r="C251" s="111">
        <f t="shared" si="146"/>
        <v>2337.2861111111115</v>
      </c>
      <c r="D251" s="111">
        <f t="shared" si="146"/>
        <v>4674.572222222223</v>
      </c>
      <c r="E251" s="111">
        <f t="shared" si="146"/>
        <v>7011.8583333333336</v>
      </c>
      <c r="F251" s="111">
        <f t="shared" si="146"/>
        <v>9349.144444444446</v>
      </c>
      <c r="G251" s="111">
        <f t="shared" si="146"/>
        <v>11686.430555555557</v>
      </c>
      <c r="H251" s="111">
        <f t="shared" si="146"/>
        <v>14023.716666666667</v>
      </c>
      <c r="I251" s="111">
        <f t="shared" si="146"/>
        <v>16361.00277777778</v>
      </c>
      <c r="J251" s="111">
        <f t="shared" si="146"/>
        <v>18698.288888888892</v>
      </c>
      <c r="K251" s="111">
        <f t="shared" si="146"/>
        <v>21035.575000000001</v>
      </c>
      <c r="L251" s="64"/>
      <c r="M251" s="64"/>
      <c r="N251" s="64"/>
      <c r="P251" s="63"/>
      <c r="Q251" s="63"/>
      <c r="R251" s="63"/>
      <c r="U251" s="64"/>
      <c r="V251" s="64"/>
      <c r="W251" s="64"/>
      <c r="Y251" s="63"/>
      <c r="Z251" s="63"/>
      <c r="AA251" s="63"/>
    </row>
    <row r="252" spans="1:27" s="65" customFormat="1">
      <c r="A252" s="107" t="s">
        <v>85</v>
      </c>
      <c r="B252" s="110"/>
      <c r="C252" s="111">
        <f t="shared" si="146"/>
        <v>286.88639999999992</v>
      </c>
      <c r="D252" s="111">
        <f t="shared" si="146"/>
        <v>573.77279999999985</v>
      </c>
      <c r="E252" s="111">
        <f t="shared" si="146"/>
        <v>860.65919999999994</v>
      </c>
      <c r="F252" s="111">
        <f t="shared" si="146"/>
        <v>1147.5455999999997</v>
      </c>
      <c r="G252" s="111">
        <f t="shared" si="146"/>
        <v>1434.432</v>
      </c>
      <c r="H252" s="111">
        <f t="shared" si="146"/>
        <v>1721.3183999999999</v>
      </c>
      <c r="I252" s="111">
        <f t="shared" si="146"/>
        <v>2008.2047999999998</v>
      </c>
      <c r="J252" s="111">
        <f t="shared" si="146"/>
        <v>2295.0911999999994</v>
      </c>
      <c r="K252" s="111">
        <f t="shared" si="146"/>
        <v>2581.9775999999997</v>
      </c>
      <c r="L252" s="64"/>
      <c r="M252" s="64"/>
      <c r="N252" s="64"/>
      <c r="P252" s="63"/>
      <c r="Q252" s="63"/>
      <c r="R252" s="63"/>
      <c r="U252" s="64"/>
      <c r="V252" s="64"/>
      <c r="W252" s="64"/>
      <c r="Y252" s="63"/>
      <c r="Z252" s="63"/>
      <c r="AA252" s="63"/>
    </row>
    <row r="253" spans="1:27" s="65" customFormat="1">
      <c r="A253" s="107" t="s">
        <v>62</v>
      </c>
      <c r="B253" s="110"/>
      <c r="C253" s="111">
        <f t="shared" si="146"/>
        <v>1928.463895174915</v>
      </c>
      <c r="D253" s="111">
        <f t="shared" si="146"/>
        <v>3856.92779034983</v>
      </c>
      <c r="E253" s="111">
        <f t="shared" si="146"/>
        <v>5638.1047840626088</v>
      </c>
      <c r="F253" s="111">
        <f t="shared" si="146"/>
        <v>7517.473045416813</v>
      </c>
      <c r="G253" s="111">
        <f t="shared" si="146"/>
        <v>9396.8413067710153</v>
      </c>
      <c r="H253" s="111">
        <f t="shared" si="146"/>
        <v>11155.94725191269</v>
      </c>
      <c r="I253" s="111">
        <f t="shared" si="146"/>
        <v>13015.271793898139</v>
      </c>
      <c r="J253" s="111">
        <f t="shared" si="146"/>
        <v>14874.596335883587</v>
      </c>
      <c r="K253" s="111">
        <f t="shared" si="146"/>
        <v>16733.920877869034</v>
      </c>
      <c r="L253" s="64"/>
      <c r="M253" s="64"/>
      <c r="N253" s="64"/>
      <c r="P253" s="63"/>
      <c r="Q253" s="63"/>
      <c r="R253" s="63"/>
      <c r="U253" s="64"/>
      <c r="V253" s="64"/>
      <c r="W253" s="64"/>
      <c r="Y253" s="63"/>
      <c r="Z253" s="63"/>
      <c r="AA253" s="63"/>
    </row>
    <row r="254" spans="1:27" s="65" customFormat="1">
      <c r="A254" s="107" t="s">
        <v>12</v>
      </c>
      <c r="B254" s="110"/>
      <c r="C254" s="111">
        <f t="shared" ref="C254:K254" si="147">SUM(C248:C253)</f>
        <v>5045.7124847173991</v>
      </c>
      <c r="D254" s="111">
        <f t="shared" si="147"/>
        <v>10091.424969434798</v>
      </c>
      <c r="E254" s="111">
        <f t="shared" si="147"/>
        <v>14989.850552690061</v>
      </c>
      <c r="F254" s="111">
        <f t="shared" si="147"/>
        <v>19986.46740358675</v>
      </c>
      <c r="G254" s="111">
        <f t="shared" si="147"/>
        <v>24983.084254483438</v>
      </c>
      <c r="H254" s="111">
        <f t="shared" si="147"/>
        <v>29859.438789167594</v>
      </c>
      <c r="I254" s="111">
        <f t="shared" si="147"/>
        <v>34836.011920695528</v>
      </c>
      <c r="J254" s="111">
        <f t="shared" si="147"/>
        <v>39812.585052223454</v>
      </c>
      <c r="K254" s="111">
        <f t="shared" si="147"/>
        <v>44789.158183751388</v>
      </c>
      <c r="L254" s="64"/>
      <c r="M254" s="64"/>
      <c r="N254" s="64"/>
      <c r="P254" s="63"/>
      <c r="Q254" s="63"/>
      <c r="R254" s="63"/>
      <c r="U254" s="64"/>
      <c r="V254" s="64"/>
      <c r="W254" s="64"/>
      <c r="Y254" s="63"/>
      <c r="Z254" s="63"/>
      <c r="AA254" s="63"/>
    </row>
    <row r="255" spans="1:27" s="65" customFormat="1">
      <c r="A255" s="107" t="s">
        <v>32</v>
      </c>
      <c r="B255" s="110"/>
      <c r="C255" s="122">
        <f t="shared" ref="C255:K255" si="148">(99.94-5.257*C198+0.1755*C198*C198-0.06767*$D$5-0.002662*C195*C198)/100*$G$5</f>
        <v>241833.81168644028</v>
      </c>
      <c r="D255" s="122">
        <f t="shared" si="148"/>
        <v>231618.3212888806</v>
      </c>
      <c r="E255" s="122">
        <f t="shared" si="148"/>
        <v>222685.20421793766</v>
      </c>
      <c r="F255" s="122">
        <f t="shared" si="148"/>
        <v>212897.17159591685</v>
      </c>
      <c r="G255" s="122">
        <f t="shared" si="148"/>
        <v>203109.1389738961</v>
      </c>
      <c r="H255" s="122">
        <f t="shared" si="148"/>
        <v>194280.10733533194</v>
      </c>
      <c r="I255" s="122">
        <f t="shared" si="148"/>
        <v>187646.71271410148</v>
      </c>
      <c r="J255" s="122">
        <f t="shared" si="148"/>
        <v>196062.57925756194</v>
      </c>
      <c r="K255" s="122">
        <f t="shared" si="148"/>
        <v>204809.05340997264</v>
      </c>
      <c r="L255" s="64"/>
      <c r="M255" s="64"/>
      <c r="N255" s="64"/>
      <c r="P255" s="63"/>
      <c r="Q255" s="63"/>
      <c r="R255" s="63"/>
      <c r="U255" s="64"/>
      <c r="V255" s="64"/>
      <c r="W255" s="64"/>
      <c r="Y255" s="63"/>
      <c r="Z255" s="63"/>
      <c r="AA255" s="63"/>
    </row>
    <row r="256" spans="1:27" s="65" customFormat="1">
      <c r="A256" s="107" t="s">
        <v>33</v>
      </c>
      <c r="B256" s="110"/>
      <c r="C256" s="111">
        <f t="shared" ref="C256:K256" si="149">+C126</f>
        <v>18458.551774549484</v>
      </c>
      <c r="D256" s="111">
        <f t="shared" si="149"/>
        <v>18458.551774549484</v>
      </c>
      <c r="E256" s="111">
        <f t="shared" si="149"/>
        <v>18458.551774549484</v>
      </c>
      <c r="F256" s="111">
        <f t="shared" si="149"/>
        <v>18458.551774549484</v>
      </c>
      <c r="G256" s="111">
        <f t="shared" si="149"/>
        <v>18458.551774549484</v>
      </c>
      <c r="H256" s="111">
        <f t="shared" si="149"/>
        <v>18458.551774549484</v>
      </c>
      <c r="I256" s="111">
        <f t="shared" si="149"/>
        <v>18458.551774549484</v>
      </c>
      <c r="J256" s="111">
        <f t="shared" si="149"/>
        <v>18458.551774549484</v>
      </c>
      <c r="K256" s="111">
        <f t="shared" si="149"/>
        <v>18458.551774549484</v>
      </c>
      <c r="L256" s="64"/>
      <c r="M256" s="64"/>
      <c r="N256" s="64"/>
      <c r="P256" s="63"/>
      <c r="Q256" s="63"/>
      <c r="R256" s="63"/>
      <c r="U256" s="64"/>
      <c r="V256" s="64"/>
      <c r="W256" s="64"/>
      <c r="Y256" s="63"/>
      <c r="Z256" s="63"/>
      <c r="AA256" s="63"/>
    </row>
    <row r="257" spans="1:45" s="65" customFormat="1">
      <c r="A257" s="107" t="s">
        <v>63</v>
      </c>
      <c r="B257" s="110"/>
      <c r="C257" s="118">
        <f t="shared" ref="C257:K257" si="150">+(($H$5-C255)/C198+($H$5+C255)/2*$D$21)/C195*(C194-C188*$D$19)*2</f>
        <v>64181.889006166581</v>
      </c>
      <c r="D257" s="118">
        <f t="shared" si="150"/>
        <v>81729.939071440982</v>
      </c>
      <c r="E257" s="118">
        <f t="shared" si="150"/>
        <v>90991.932497999471</v>
      </c>
      <c r="F257" s="118">
        <f t="shared" si="150"/>
        <v>96480.686058161373</v>
      </c>
      <c r="G257" s="118">
        <f t="shared" si="150"/>
        <v>100356.43634744827</v>
      </c>
      <c r="H257" s="118">
        <f t="shared" si="150"/>
        <v>103666.28949198287</v>
      </c>
      <c r="I257" s="118">
        <f t="shared" si="150"/>
        <v>107651.63698503873</v>
      </c>
      <c r="J257" s="118">
        <f t="shared" si="150"/>
        <v>118556.42886628518</v>
      </c>
      <c r="K257" s="118">
        <f t="shared" si="150"/>
        <v>129101.02480377968</v>
      </c>
      <c r="L257" s="64"/>
      <c r="M257" s="64"/>
      <c r="N257" s="64"/>
      <c r="P257" s="63"/>
      <c r="Q257" s="63"/>
      <c r="R257" s="63"/>
      <c r="U257" s="64"/>
      <c r="V257" s="64"/>
      <c r="W257" s="64"/>
      <c r="Y257" s="63"/>
      <c r="Z257" s="63"/>
      <c r="AA257" s="63"/>
    </row>
    <row r="258" spans="1:45" s="65" customFormat="1">
      <c r="A258" s="107" t="s">
        <v>26</v>
      </c>
      <c r="B258" s="110"/>
      <c r="C258" s="111">
        <f t="shared" ref="C258:K260" si="151">+C128</f>
        <v>50271.327583854356</v>
      </c>
      <c r="D258" s="111">
        <f t="shared" si="151"/>
        <v>50271.327583854356</v>
      </c>
      <c r="E258" s="111">
        <f t="shared" si="151"/>
        <v>50271.327583854356</v>
      </c>
      <c r="F258" s="111">
        <f t="shared" si="151"/>
        <v>50271.327583854356</v>
      </c>
      <c r="G258" s="111">
        <f t="shared" si="151"/>
        <v>50271.327583854356</v>
      </c>
      <c r="H258" s="111">
        <f t="shared" si="151"/>
        <v>50271.327583854356</v>
      </c>
      <c r="I258" s="111">
        <f t="shared" si="151"/>
        <v>50271.327583854356</v>
      </c>
      <c r="J258" s="111">
        <f t="shared" si="151"/>
        <v>50271.327583854356</v>
      </c>
      <c r="K258" s="111">
        <f t="shared" si="151"/>
        <v>50271.327583854356</v>
      </c>
      <c r="L258" s="64"/>
      <c r="M258" s="64"/>
      <c r="N258" s="64"/>
      <c r="P258" s="63"/>
      <c r="Q258" s="63"/>
      <c r="R258" s="63"/>
      <c r="U258" s="64"/>
      <c r="V258" s="64"/>
      <c r="W258" s="64"/>
      <c r="Y258" s="63"/>
      <c r="Z258" s="63"/>
      <c r="AA258" s="63"/>
    </row>
    <row r="259" spans="1:45" s="65" customFormat="1">
      <c r="A259" s="107" t="s">
        <v>31</v>
      </c>
      <c r="B259" s="110"/>
      <c r="C259" s="111">
        <f t="shared" si="151"/>
        <v>12319.597001399945</v>
      </c>
      <c r="D259" s="111">
        <f t="shared" si="151"/>
        <v>24639.19400279989</v>
      </c>
      <c r="E259" s="111">
        <f t="shared" si="151"/>
        <v>36017.878771340089</v>
      </c>
      <c r="F259" s="111">
        <f t="shared" si="151"/>
        <v>48023.838361786795</v>
      </c>
      <c r="G259" s="111">
        <f t="shared" si="151"/>
        <v>60029.797952233486</v>
      </c>
      <c r="H259" s="111">
        <f t="shared" si="151"/>
        <v>71267.486343048062</v>
      </c>
      <c r="I259" s="111">
        <f t="shared" si="151"/>
        <v>83145.400733556075</v>
      </c>
      <c r="J259" s="111">
        <f t="shared" si="151"/>
        <v>95023.315124064087</v>
      </c>
      <c r="K259" s="111">
        <f t="shared" si="151"/>
        <v>106901.22951457209</v>
      </c>
      <c r="L259" s="64"/>
      <c r="M259" s="64"/>
      <c r="N259" s="64"/>
      <c r="P259" s="63"/>
      <c r="Q259" s="63"/>
      <c r="R259" s="63"/>
      <c r="U259" s="64"/>
      <c r="V259" s="64"/>
      <c r="W259" s="64"/>
      <c r="Y259" s="63"/>
      <c r="Z259" s="63"/>
      <c r="AA259" s="63"/>
    </row>
    <row r="260" spans="1:45" s="65" customFormat="1">
      <c r="A260" s="107" t="s">
        <v>30</v>
      </c>
      <c r="B260" s="110"/>
      <c r="C260" s="111">
        <f t="shared" si="151"/>
        <v>4817.151959808938</v>
      </c>
      <c r="D260" s="111">
        <f t="shared" si="151"/>
        <v>9634.3039196178761</v>
      </c>
      <c r="E260" s="111">
        <f t="shared" si="151"/>
        <v>14083.544720805843</v>
      </c>
      <c r="F260" s="111">
        <f t="shared" si="151"/>
        <v>18778.059627741124</v>
      </c>
      <c r="G260" s="111">
        <f t="shared" si="151"/>
        <v>23472.574534676402</v>
      </c>
      <c r="H260" s="111">
        <f t="shared" si="151"/>
        <v>27866.683582998608</v>
      </c>
      <c r="I260" s="111">
        <f t="shared" si="151"/>
        <v>32511.130846831707</v>
      </c>
      <c r="J260" s="111">
        <f t="shared" si="151"/>
        <v>37155.578110664806</v>
      </c>
      <c r="K260" s="111">
        <f t="shared" si="151"/>
        <v>41800.025374497913</v>
      </c>
      <c r="L260" s="64"/>
      <c r="M260" s="64"/>
      <c r="N260" s="64"/>
      <c r="P260" s="63"/>
      <c r="Q260" s="63"/>
      <c r="R260" s="63"/>
      <c r="U260" s="64"/>
      <c r="V260" s="64"/>
      <c r="W260" s="64"/>
      <c r="Y260" s="63"/>
      <c r="Z260" s="63"/>
      <c r="AA260" s="63"/>
    </row>
    <row r="261" spans="1:45" s="65" customFormat="1">
      <c r="A261" s="107" t="s">
        <v>13</v>
      </c>
      <c r="B261" s="110"/>
      <c r="C261" s="123">
        <f t="shared" ref="C261:K261" si="152">C201/100*$D$23*$D$17*C246</f>
        <v>41556.960844116453</v>
      </c>
      <c r="D261" s="123">
        <f t="shared" si="152"/>
        <v>96661.826442088379</v>
      </c>
      <c r="E261" s="123">
        <f t="shared" si="152"/>
        <v>164147.88922757219</v>
      </c>
      <c r="F261" s="123">
        <f t="shared" si="152"/>
        <v>247537.87309767219</v>
      </c>
      <c r="G261" s="123">
        <f t="shared" si="152"/>
        <v>346687.26736489276</v>
      </c>
      <c r="H261" s="123">
        <f t="shared" si="152"/>
        <v>459451.28168471577</v>
      </c>
      <c r="I261" s="123">
        <f t="shared" si="152"/>
        <v>591663.15501173481</v>
      </c>
      <c r="J261" s="123">
        <f t="shared" si="152"/>
        <v>742047.0568281553</v>
      </c>
      <c r="K261" s="123">
        <f t="shared" si="152"/>
        <v>911456.42713397497</v>
      </c>
      <c r="L261" s="30"/>
      <c r="M261" s="30"/>
      <c r="N261" s="30"/>
      <c r="P261" s="63"/>
      <c r="Q261" s="63"/>
      <c r="R261" s="63"/>
      <c r="U261" s="64"/>
      <c r="V261" s="64"/>
      <c r="W261" s="64"/>
      <c r="Y261" s="63"/>
      <c r="Z261" s="63"/>
      <c r="AA261" s="63"/>
    </row>
    <row r="262" spans="1:45" s="65" customFormat="1">
      <c r="A262" s="107" t="s">
        <v>38</v>
      </c>
      <c r="B262" s="124"/>
      <c r="C262" s="111">
        <f t="shared" ref="C262:K262" si="153">+C246*$D$23*$D$13/100</f>
        <v>0</v>
      </c>
      <c r="D262" s="111">
        <f t="shared" si="153"/>
        <v>0</v>
      </c>
      <c r="E262" s="111">
        <f t="shared" si="153"/>
        <v>0</v>
      </c>
      <c r="F262" s="111">
        <f t="shared" si="153"/>
        <v>0</v>
      </c>
      <c r="G262" s="112">
        <f t="shared" si="153"/>
        <v>0</v>
      </c>
      <c r="H262" s="111">
        <f t="shared" si="153"/>
        <v>0</v>
      </c>
      <c r="I262" s="111">
        <f t="shared" si="153"/>
        <v>0</v>
      </c>
      <c r="J262" s="111">
        <f t="shared" si="153"/>
        <v>0</v>
      </c>
      <c r="K262" s="111">
        <f t="shared" si="153"/>
        <v>0</v>
      </c>
      <c r="L262" s="64"/>
      <c r="M262" s="64"/>
      <c r="N262" s="64"/>
      <c r="P262" s="63"/>
      <c r="Q262" s="63"/>
      <c r="R262" s="63"/>
      <c r="U262" s="64"/>
      <c r="V262" s="64"/>
      <c r="W262" s="64"/>
      <c r="Y262" s="63"/>
      <c r="Z262" s="63"/>
      <c r="AA262" s="63"/>
    </row>
    <row r="263" spans="1:45">
      <c r="A263" s="107" t="s">
        <v>78</v>
      </c>
      <c r="B263" s="124"/>
      <c r="C263" s="111">
        <f t="shared" ref="C263:K263" si="154">+C257+C258+C260+C254</f>
        <v>124316.08103454727</v>
      </c>
      <c r="D263" s="111">
        <f t="shared" si="154"/>
        <v>151726.995544348</v>
      </c>
      <c r="E263" s="111">
        <f t="shared" si="154"/>
        <v>170336.65535534974</v>
      </c>
      <c r="F263" s="111">
        <f t="shared" si="154"/>
        <v>185516.54067334361</v>
      </c>
      <c r="G263" s="111">
        <f t="shared" si="154"/>
        <v>199083.42272046246</v>
      </c>
      <c r="H263" s="111">
        <f t="shared" si="154"/>
        <v>211663.73944800341</v>
      </c>
      <c r="I263" s="111">
        <f t="shared" si="154"/>
        <v>225270.10733642033</v>
      </c>
      <c r="J263" s="111">
        <f t="shared" si="154"/>
        <v>245795.91961302783</v>
      </c>
      <c r="K263" s="111">
        <f t="shared" si="154"/>
        <v>265961.53594588337</v>
      </c>
      <c r="L263" s="64"/>
      <c r="M263" s="64"/>
      <c r="N263" s="64"/>
      <c r="O263" s="7"/>
      <c r="Q263" s="8"/>
      <c r="R263" s="8"/>
      <c r="S263" s="7"/>
      <c r="T263" s="7"/>
      <c r="U263" s="30"/>
      <c r="V263" s="30"/>
      <c r="W263" s="30"/>
      <c r="X263" s="7"/>
      <c r="Z263" s="8"/>
      <c r="AA263" s="8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</row>
    <row r="264" spans="1:45" s="65" customFormat="1">
      <c r="A264" s="107" t="s">
        <v>64</v>
      </c>
      <c r="B264" s="125" t="s">
        <v>86</v>
      </c>
      <c r="C264" s="126">
        <f t="shared" ref="C264:K264" si="155">C254+C257+C258+C259+C260+C261+C262</f>
        <v>178192.63888006369</v>
      </c>
      <c r="D264" s="126">
        <f t="shared" si="155"/>
        <v>273028.0159892363</v>
      </c>
      <c r="E264" s="126">
        <f t="shared" si="155"/>
        <v>370502.42335426202</v>
      </c>
      <c r="F264" s="126">
        <f t="shared" si="155"/>
        <v>481078.25213280256</v>
      </c>
      <c r="G264" s="126">
        <f t="shared" si="155"/>
        <v>605800.48803758877</v>
      </c>
      <c r="H264" s="126">
        <f t="shared" si="155"/>
        <v>742382.50747576728</v>
      </c>
      <c r="I264" s="126">
        <f t="shared" si="155"/>
        <v>900078.66308171116</v>
      </c>
      <c r="J264" s="126">
        <f t="shared" si="155"/>
        <v>1082866.2915652471</v>
      </c>
      <c r="K264" s="126">
        <f t="shared" si="155"/>
        <v>1284319.1925944304</v>
      </c>
      <c r="L264" s="64"/>
      <c r="M264" s="64"/>
      <c r="N264" s="64"/>
      <c r="P264" s="63"/>
      <c r="Q264" s="63"/>
      <c r="R264" s="63"/>
      <c r="U264" s="64"/>
      <c r="V264" s="64"/>
      <c r="W264" s="64"/>
      <c r="Y264" s="63"/>
      <c r="Z264" s="63"/>
      <c r="AA264" s="63"/>
    </row>
    <row r="265" spans="1:45" s="65" customFormat="1">
      <c r="A265" s="107" t="s">
        <v>3</v>
      </c>
      <c r="B265" s="110"/>
      <c r="C265" s="111"/>
      <c r="D265" s="111"/>
      <c r="E265" s="111"/>
      <c r="F265" s="111"/>
      <c r="G265" s="112"/>
      <c r="H265" s="111"/>
      <c r="I265" s="111"/>
      <c r="J265" s="111"/>
      <c r="K265" s="111"/>
      <c r="L265" s="64"/>
      <c r="M265" s="64"/>
      <c r="N265" s="64"/>
      <c r="P265" s="63"/>
      <c r="Q265" s="63"/>
      <c r="R265" s="63"/>
      <c r="U265" s="64"/>
      <c r="V265" s="64"/>
      <c r="W265" s="64"/>
      <c r="Y265" s="63"/>
      <c r="Z265" s="63"/>
      <c r="AA265" s="63"/>
    </row>
    <row r="266" spans="1:45" s="65" customFormat="1">
      <c r="A266" s="107" t="s">
        <v>4</v>
      </c>
      <c r="B266" s="110"/>
      <c r="C266" s="111">
        <f t="shared" ref="C266:K266" si="156">+C136</f>
        <v>200</v>
      </c>
      <c r="D266" s="111">
        <f t="shared" si="156"/>
        <v>400</v>
      </c>
      <c r="E266" s="111">
        <f t="shared" si="156"/>
        <v>600</v>
      </c>
      <c r="F266" s="111">
        <f t="shared" si="156"/>
        <v>800</v>
      </c>
      <c r="G266" s="112">
        <f t="shared" si="156"/>
        <v>1000</v>
      </c>
      <c r="H266" s="111">
        <f t="shared" si="156"/>
        <v>1200</v>
      </c>
      <c r="I266" s="111">
        <f t="shared" si="156"/>
        <v>1400</v>
      </c>
      <c r="J266" s="111">
        <f t="shared" si="156"/>
        <v>1600</v>
      </c>
      <c r="K266" s="111">
        <f t="shared" si="156"/>
        <v>1800</v>
      </c>
      <c r="L266" s="64"/>
      <c r="M266" s="64"/>
      <c r="N266" s="64"/>
      <c r="P266" s="63"/>
      <c r="Q266" s="63"/>
      <c r="R266" s="63"/>
      <c r="U266" s="64"/>
      <c r="V266" s="64"/>
      <c r="W266" s="64"/>
      <c r="Y266" s="63"/>
      <c r="Z266" s="63"/>
      <c r="AA266" s="63"/>
    </row>
    <row r="267" spans="1:45" s="65" customFormat="1">
      <c r="A267" s="107"/>
      <c r="B267" s="110"/>
      <c r="C267" s="111"/>
      <c r="D267" s="111"/>
      <c r="E267" s="111"/>
      <c r="F267" s="111"/>
      <c r="G267" s="112"/>
      <c r="H267" s="111"/>
      <c r="I267" s="111"/>
      <c r="J267" s="111"/>
      <c r="K267" s="111"/>
      <c r="L267" s="64"/>
      <c r="M267" s="64"/>
      <c r="N267" s="64"/>
      <c r="P267" s="63"/>
      <c r="Q267" s="63"/>
      <c r="R267" s="63"/>
      <c r="U267" s="64"/>
      <c r="V267" s="64"/>
      <c r="W267" s="64"/>
      <c r="Y267" s="63"/>
      <c r="Z267" s="63"/>
      <c r="AA267" s="63"/>
    </row>
    <row r="268" spans="1:45" s="65" customFormat="1">
      <c r="A268" s="107" t="str">
        <f t="shared" ref="A268:A272" si="157">+A228</f>
        <v>Vedlikehold plog</v>
      </c>
      <c r="B268" s="110"/>
      <c r="C268" s="111">
        <f t="shared" ref="C268:K269" si="158">+C138</f>
        <v>0</v>
      </c>
      <c r="D268" s="111">
        <f t="shared" si="158"/>
        <v>0</v>
      </c>
      <c r="E268" s="111">
        <f t="shared" si="158"/>
        <v>0</v>
      </c>
      <c r="F268" s="111">
        <f t="shared" si="158"/>
        <v>0</v>
      </c>
      <c r="G268" s="112">
        <f t="shared" si="158"/>
        <v>0</v>
      </c>
      <c r="H268" s="111">
        <f t="shared" si="158"/>
        <v>0</v>
      </c>
      <c r="I268" s="111">
        <f t="shared" si="158"/>
        <v>0</v>
      </c>
      <c r="J268" s="111">
        <f t="shared" si="158"/>
        <v>0</v>
      </c>
      <c r="K268" s="111">
        <f t="shared" si="158"/>
        <v>0</v>
      </c>
      <c r="L268" s="64"/>
      <c r="M268" s="64"/>
      <c r="N268" s="64"/>
      <c r="P268" s="63"/>
      <c r="Q268" s="63"/>
      <c r="R268" s="63"/>
      <c r="U268" s="64"/>
      <c r="V268" s="64"/>
      <c r="W268" s="64"/>
      <c r="Y268" s="63"/>
      <c r="Z268" s="63"/>
      <c r="AA268" s="63"/>
    </row>
    <row r="269" spans="1:45" s="65" customFormat="1">
      <c r="A269" s="107" t="str">
        <f t="shared" si="157"/>
        <v>Vedlikehold slodd</v>
      </c>
      <c r="B269" s="110"/>
      <c r="C269" s="111">
        <f t="shared" si="158"/>
        <v>0</v>
      </c>
      <c r="D269" s="111">
        <f t="shared" si="158"/>
        <v>0</v>
      </c>
      <c r="E269" s="111">
        <f t="shared" si="158"/>
        <v>0</v>
      </c>
      <c r="F269" s="111">
        <f t="shared" si="158"/>
        <v>0</v>
      </c>
      <c r="G269" s="112">
        <f t="shared" si="158"/>
        <v>0</v>
      </c>
      <c r="H269" s="111">
        <f t="shared" si="158"/>
        <v>0</v>
      </c>
      <c r="I269" s="111">
        <f t="shared" si="158"/>
        <v>0</v>
      </c>
      <c r="J269" s="111">
        <f t="shared" si="158"/>
        <v>0</v>
      </c>
      <c r="K269" s="111">
        <f t="shared" si="158"/>
        <v>0</v>
      </c>
      <c r="L269" s="64"/>
      <c r="M269" s="64"/>
      <c r="N269" s="64"/>
      <c r="P269" s="63"/>
      <c r="Q269" s="63"/>
      <c r="R269" s="63"/>
      <c r="U269" s="64"/>
      <c r="V269" s="64"/>
      <c r="W269" s="64"/>
      <c r="Y269" s="63"/>
      <c r="Z269" s="63"/>
      <c r="AA269" s="63"/>
    </row>
    <row r="270" spans="1:45" s="65" customFormat="1">
      <c r="A270" s="107" t="str">
        <f t="shared" si="157"/>
        <v>Vedlikehold harv</v>
      </c>
      <c r="B270" s="110"/>
      <c r="C270" s="111">
        <v>200</v>
      </c>
      <c r="D270" s="111">
        <v>400</v>
      </c>
      <c r="E270" s="111">
        <v>600</v>
      </c>
      <c r="F270" s="111">
        <v>800</v>
      </c>
      <c r="G270" s="112">
        <v>1000</v>
      </c>
      <c r="H270" s="111">
        <v>1200</v>
      </c>
      <c r="I270" s="111">
        <v>1400</v>
      </c>
      <c r="J270" s="111">
        <v>1600</v>
      </c>
      <c r="K270" s="111">
        <v>1800</v>
      </c>
      <c r="L270" s="64"/>
      <c r="M270" s="64"/>
      <c r="N270" s="64"/>
      <c r="P270" s="63"/>
      <c r="Q270" s="63"/>
      <c r="R270" s="63"/>
      <c r="U270" s="64"/>
      <c r="V270" s="64"/>
      <c r="W270" s="64"/>
      <c r="Y270" s="63"/>
      <c r="Z270" s="63"/>
      <c r="AA270" s="63"/>
    </row>
    <row r="271" spans="1:45" s="65" customFormat="1">
      <c r="A271" s="107" t="str">
        <f t="shared" si="157"/>
        <v>Vedlikehold såmaskin</v>
      </c>
      <c r="B271" s="110"/>
      <c r="C271" s="111">
        <f t="shared" ref="C271:K273" si="159">+C141</f>
        <v>2712.8597222222224</v>
      </c>
      <c r="D271" s="111">
        <f t="shared" si="159"/>
        <v>5425.7194444444449</v>
      </c>
      <c r="E271" s="111">
        <f t="shared" si="159"/>
        <v>8138.5791666666673</v>
      </c>
      <c r="F271" s="111">
        <f t="shared" si="159"/>
        <v>10851.43888888889</v>
      </c>
      <c r="G271" s="112">
        <f t="shared" si="159"/>
        <v>13564.298611111111</v>
      </c>
      <c r="H271" s="111">
        <f t="shared" si="159"/>
        <v>16277.158333333335</v>
      </c>
      <c r="I271" s="111">
        <f t="shared" si="159"/>
        <v>18990.01805555556</v>
      </c>
      <c r="J271" s="111">
        <f t="shared" si="159"/>
        <v>21702.87777777778</v>
      </c>
      <c r="K271" s="111">
        <f t="shared" si="159"/>
        <v>24415.737500000003</v>
      </c>
      <c r="L271" s="64"/>
      <c r="M271" s="64"/>
      <c r="N271" s="64"/>
      <c r="P271" s="63"/>
      <c r="Q271" s="63"/>
      <c r="R271" s="63"/>
      <c r="U271" s="64"/>
      <c r="V271" s="64"/>
      <c r="W271" s="64"/>
      <c r="Y271" s="63"/>
      <c r="Z271" s="63"/>
      <c r="AA271" s="63"/>
    </row>
    <row r="272" spans="1:45" s="65" customFormat="1">
      <c r="A272" s="107" t="str">
        <f t="shared" si="157"/>
        <v>Vedlikehold trommel</v>
      </c>
      <c r="B272" s="110"/>
      <c r="C272" s="111">
        <f t="shared" si="159"/>
        <v>337.5288888888889</v>
      </c>
      <c r="D272" s="111">
        <f t="shared" si="159"/>
        <v>675.0577777777778</v>
      </c>
      <c r="E272" s="111">
        <f t="shared" si="159"/>
        <v>1012.5866666666667</v>
      </c>
      <c r="F272" s="111">
        <f t="shared" si="159"/>
        <v>1350.1155555555556</v>
      </c>
      <c r="G272" s="112">
        <f t="shared" si="159"/>
        <v>1687.6444444444444</v>
      </c>
      <c r="H272" s="111">
        <f t="shared" si="159"/>
        <v>2025.1733333333334</v>
      </c>
      <c r="I272" s="111">
        <f t="shared" si="159"/>
        <v>2362.7022222222222</v>
      </c>
      <c r="J272" s="111">
        <f t="shared" si="159"/>
        <v>2700.2311111111112</v>
      </c>
      <c r="K272" s="111">
        <f t="shared" si="159"/>
        <v>3037.76</v>
      </c>
      <c r="L272" s="64"/>
      <c r="M272" s="64"/>
      <c r="N272" s="64"/>
      <c r="P272" s="63"/>
      <c r="Q272" s="63"/>
      <c r="R272" s="63"/>
      <c r="U272" s="64"/>
      <c r="V272" s="64"/>
      <c r="W272" s="64"/>
      <c r="Y272" s="63"/>
      <c r="Z272" s="63"/>
      <c r="AA272" s="63"/>
    </row>
    <row r="273" spans="1:45" s="65" customFormat="1">
      <c r="A273" s="107" t="s">
        <v>62</v>
      </c>
      <c r="B273" s="110"/>
      <c r="C273" s="111">
        <f t="shared" si="159"/>
        <v>2628.1180298098343</v>
      </c>
      <c r="D273" s="111">
        <f t="shared" si="159"/>
        <v>5256.2360596196686</v>
      </c>
      <c r="E273" s="111">
        <f t="shared" si="159"/>
        <v>7631.2849015265756</v>
      </c>
      <c r="F273" s="111">
        <f t="shared" si="159"/>
        <v>10175.046535368767</v>
      </c>
      <c r="G273" s="112">
        <f t="shared" si="159"/>
        <v>12718.808169210957</v>
      </c>
      <c r="H273" s="111">
        <f t="shared" si="159"/>
        <v>15055.148209452691</v>
      </c>
      <c r="I273" s="111">
        <f t="shared" si="159"/>
        <v>17564.339577694809</v>
      </c>
      <c r="J273" s="111">
        <f t="shared" si="159"/>
        <v>20073.530945936927</v>
      </c>
      <c r="K273" s="111">
        <f t="shared" si="159"/>
        <v>22582.722314179035</v>
      </c>
      <c r="L273" s="64"/>
      <c r="M273" s="64"/>
      <c r="N273" s="64"/>
      <c r="P273" s="63"/>
      <c r="Q273" s="63"/>
      <c r="R273" s="63"/>
      <c r="U273" s="64"/>
      <c r="V273" s="64"/>
      <c r="W273" s="64"/>
      <c r="Y273" s="63"/>
      <c r="Z273" s="63"/>
      <c r="AA273" s="63"/>
    </row>
    <row r="274" spans="1:45" s="65" customFormat="1">
      <c r="A274" s="107" t="s">
        <v>12</v>
      </c>
      <c r="B274" s="110"/>
      <c r="C274" s="111">
        <f t="shared" ref="C274:K274" si="160">SUM(C268:C273)</f>
        <v>5878.5066409209458</v>
      </c>
      <c r="D274" s="111">
        <f t="shared" si="160"/>
        <v>11757.013281841892</v>
      </c>
      <c r="E274" s="111">
        <f t="shared" si="160"/>
        <v>17382.450734859907</v>
      </c>
      <c r="F274" s="111">
        <f t="shared" si="160"/>
        <v>23176.600979813215</v>
      </c>
      <c r="G274" s="112">
        <f t="shared" si="160"/>
        <v>28970.751224766514</v>
      </c>
      <c r="H274" s="111">
        <f t="shared" si="160"/>
        <v>34557.479876119352</v>
      </c>
      <c r="I274" s="111">
        <f t="shared" si="160"/>
        <v>40317.059855472588</v>
      </c>
      <c r="J274" s="111">
        <f t="shared" si="160"/>
        <v>46076.639834825823</v>
      </c>
      <c r="K274" s="111">
        <f t="shared" si="160"/>
        <v>51836.219814179043</v>
      </c>
      <c r="L274" s="64"/>
      <c r="M274" s="64"/>
      <c r="N274" s="64"/>
      <c r="P274" s="63"/>
      <c r="Q274" s="63"/>
      <c r="R274" s="63"/>
      <c r="U274" s="64"/>
      <c r="V274" s="64"/>
      <c r="W274" s="64"/>
      <c r="Y274" s="63"/>
      <c r="Z274" s="63"/>
      <c r="AA274" s="63"/>
    </row>
    <row r="275" spans="1:45" s="65" customFormat="1">
      <c r="A275" s="107" t="s">
        <v>32</v>
      </c>
      <c r="B275" s="110"/>
      <c r="C275" s="122">
        <f t="shared" ref="C275:K275" si="161">(99.94-5.257*C218+0.1755*C218*C218-0.06767*$E$5-0.002662*C215*C218)/100*$H$5</f>
        <v>451258.66198962904</v>
      </c>
      <c r="D275" s="122">
        <f t="shared" si="161"/>
        <v>438150.0091512581</v>
      </c>
      <c r="E275" s="122">
        <f t="shared" si="161"/>
        <v>426535.47229766374</v>
      </c>
      <c r="F275" s="122">
        <f t="shared" si="161"/>
        <v>413924.85812088504</v>
      </c>
      <c r="G275" s="122">
        <f t="shared" si="161"/>
        <v>401314.24394410622</v>
      </c>
      <c r="H275" s="122">
        <f t="shared" si="161"/>
        <v>389835.03806683025</v>
      </c>
      <c r="I275" s="122">
        <f t="shared" si="161"/>
        <v>377412.99193996855</v>
      </c>
      <c r="J275" s="122">
        <f t="shared" si="161"/>
        <v>364990.94581310696</v>
      </c>
      <c r="K275" s="122">
        <f t="shared" si="161"/>
        <v>352568.89968624542</v>
      </c>
      <c r="L275" s="71"/>
      <c r="M275" s="71"/>
      <c r="N275" s="71"/>
      <c r="P275" s="63"/>
      <c r="Q275" s="63"/>
      <c r="R275" s="63"/>
      <c r="U275" s="64"/>
      <c r="V275" s="64"/>
      <c r="W275" s="64"/>
      <c r="Y275" s="63"/>
      <c r="Z275" s="63"/>
      <c r="AA275" s="63"/>
    </row>
    <row r="276" spans="1:45" s="65" customFormat="1">
      <c r="A276" s="107" t="s">
        <v>33</v>
      </c>
      <c r="B276" s="110"/>
      <c r="C276" s="111">
        <f t="shared" ref="C276:K276" si="162">+C146</f>
        <v>39090.490339490083</v>
      </c>
      <c r="D276" s="111">
        <f t="shared" si="162"/>
        <v>39090.490339490083</v>
      </c>
      <c r="E276" s="111">
        <f t="shared" si="162"/>
        <v>39090.490339490083</v>
      </c>
      <c r="F276" s="111">
        <f t="shared" si="162"/>
        <v>39090.490339490083</v>
      </c>
      <c r="G276" s="112">
        <f t="shared" si="162"/>
        <v>39090.490339490083</v>
      </c>
      <c r="H276" s="111">
        <f t="shared" si="162"/>
        <v>39090.490339490083</v>
      </c>
      <c r="I276" s="111">
        <f t="shared" si="162"/>
        <v>39090.490339490083</v>
      </c>
      <c r="J276" s="111">
        <f t="shared" si="162"/>
        <v>39090.490339490083</v>
      </c>
      <c r="K276" s="111">
        <f t="shared" si="162"/>
        <v>39090.490339490083</v>
      </c>
      <c r="L276" s="64"/>
      <c r="M276" s="64"/>
      <c r="N276" s="64"/>
      <c r="P276" s="63"/>
      <c r="Q276" s="63"/>
      <c r="R276" s="63"/>
      <c r="U276" s="64"/>
      <c r="V276" s="64"/>
      <c r="W276" s="64"/>
      <c r="Y276" s="63"/>
      <c r="Z276" s="63"/>
      <c r="AA276" s="63"/>
    </row>
    <row r="277" spans="1:45" s="72" customFormat="1">
      <c r="A277" s="107" t="s">
        <v>63</v>
      </c>
      <c r="B277" s="127"/>
      <c r="C277" s="118">
        <f t="shared" ref="C277:K277" si="163">+(($I$5-C275)/C218+($I$5+C275)/2*$D$21)/C215*(C214-C208*$D$19)*2</f>
        <v>78912.926156894318</v>
      </c>
      <c r="D277" s="118">
        <f t="shared" si="163"/>
        <v>108297.82301933736</v>
      </c>
      <c r="E277" s="118">
        <f t="shared" si="163"/>
        <v>123379.48717164971</v>
      </c>
      <c r="F277" s="118">
        <f t="shared" si="163"/>
        <v>133660.78852778496</v>
      </c>
      <c r="G277" s="118">
        <f t="shared" si="163"/>
        <v>140990.65180236625</v>
      </c>
      <c r="H277" s="118">
        <f t="shared" si="163"/>
        <v>146351.78275373494</v>
      </c>
      <c r="I277" s="118">
        <f t="shared" si="163"/>
        <v>150898.22963776061</v>
      </c>
      <c r="J277" s="118">
        <f t="shared" si="163"/>
        <v>154704.41249438559</v>
      </c>
      <c r="K277" s="118">
        <f t="shared" si="163"/>
        <v>157988.02897156813</v>
      </c>
      <c r="L277" s="64"/>
      <c r="M277" s="64"/>
      <c r="N277" s="64"/>
      <c r="P277" s="59"/>
      <c r="Q277" s="59"/>
      <c r="R277" s="59"/>
      <c r="U277" s="71"/>
      <c r="V277" s="71"/>
      <c r="W277" s="71"/>
      <c r="Y277" s="59"/>
      <c r="Z277" s="59"/>
      <c r="AA277" s="59"/>
    </row>
    <row r="278" spans="1:45" s="65" customFormat="1">
      <c r="A278" s="107" t="s">
        <v>26</v>
      </c>
      <c r="B278" s="110"/>
      <c r="C278" s="111">
        <f t="shared" ref="C278:K280" si="164">+C148</f>
        <v>110160.46378415712</v>
      </c>
      <c r="D278" s="111">
        <f t="shared" si="164"/>
        <v>110160.46378415712</v>
      </c>
      <c r="E278" s="111">
        <f t="shared" si="164"/>
        <v>110160.46378415712</v>
      </c>
      <c r="F278" s="111">
        <f t="shared" si="164"/>
        <v>110160.46378415712</v>
      </c>
      <c r="G278" s="112">
        <f t="shared" si="164"/>
        <v>110160.46378415712</v>
      </c>
      <c r="H278" s="111">
        <f t="shared" si="164"/>
        <v>110160.46378415712</v>
      </c>
      <c r="I278" s="111">
        <f t="shared" si="164"/>
        <v>110160.46378415712</v>
      </c>
      <c r="J278" s="111">
        <f t="shared" si="164"/>
        <v>110160.46378415712</v>
      </c>
      <c r="K278" s="111">
        <f t="shared" si="164"/>
        <v>110160.46378415712</v>
      </c>
      <c r="L278" s="64"/>
      <c r="M278" s="64"/>
      <c r="N278" s="64"/>
      <c r="P278" s="63"/>
      <c r="Q278" s="63"/>
      <c r="R278" s="63"/>
      <c r="U278" s="64"/>
      <c r="V278" s="64"/>
      <c r="W278" s="64"/>
      <c r="Y278" s="63"/>
      <c r="Z278" s="63"/>
      <c r="AA278" s="63"/>
    </row>
    <row r="279" spans="1:45" s="65" customFormat="1">
      <c r="A279" s="107" t="s">
        <v>31</v>
      </c>
      <c r="B279" s="110"/>
      <c r="C279" s="111">
        <f t="shared" si="164"/>
        <v>8217.7780766141695</v>
      </c>
      <c r="D279" s="111">
        <f t="shared" si="164"/>
        <v>16435.556153228339</v>
      </c>
      <c r="E279" s="111">
        <f t="shared" si="164"/>
        <v>23862.020293167563</v>
      </c>
      <c r="F279" s="111">
        <f t="shared" si="164"/>
        <v>31816.027057556748</v>
      </c>
      <c r="G279" s="112">
        <f t="shared" si="164"/>
        <v>39770.03382194593</v>
      </c>
      <c r="H279" s="111">
        <f t="shared" si="164"/>
        <v>47075.460649980596</v>
      </c>
      <c r="I279" s="111">
        <f t="shared" si="164"/>
        <v>54921.37075831071</v>
      </c>
      <c r="J279" s="111">
        <f t="shared" si="164"/>
        <v>62767.280866640816</v>
      </c>
      <c r="K279" s="111">
        <f t="shared" si="164"/>
        <v>70613.190974970887</v>
      </c>
      <c r="L279" s="64"/>
      <c r="M279" s="64"/>
      <c r="N279" s="64"/>
      <c r="P279" s="63"/>
      <c r="Q279" s="63"/>
      <c r="R279" s="63"/>
      <c r="U279" s="64"/>
      <c r="V279" s="64"/>
      <c r="W279" s="64"/>
      <c r="Y279" s="63"/>
      <c r="Z279" s="63"/>
      <c r="AA279" s="63"/>
    </row>
    <row r="280" spans="1:45" s="65" customFormat="1">
      <c r="A280" s="107" t="s">
        <v>30</v>
      </c>
      <c r="B280" s="110"/>
      <c r="C280" s="111">
        <f t="shared" si="164"/>
        <v>3213.2776553111648</v>
      </c>
      <c r="D280" s="111">
        <f t="shared" si="164"/>
        <v>6426.5553106223297</v>
      </c>
      <c r="E280" s="111">
        <f t="shared" si="164"/>
        <v>9330.4170426330274</v>
      </c>
      <c r="F280" s="111">
        <f t="shared" si="164"/>
        <v>12440.556056844036</v>
      </c>
      <c r="G280" s="112">
        <f t="shared" si="164"/>
        <v>15550.695071055043</v>
      </c>
      <c r="H280" s="111">
        <f t="shared" si="164"/>
        <v>18407.229351998569</v>
      </c>
      <c r="I280" s="111">
        <f t="shared" si="164"/>
        <v>21475.100910664994</v>
      </c>
      <c r="J280" s="111">
        <f t="shared" si="164"/>
        <v>24542.972469331431</v>
      </c>
      <c r="K280" s="111">
        <f t="shared" si="164"/>
        <v>27610.844027997849</v>
      </c>
      <c r="L280" s="64"/>
      <c r="M280" s="64"/>
      <c r="N280" s="64"/>
      <c r="P280" s="63"/>
      <c r="Q280" s="63"/>
      <c r="R280" s="63"/>
      <c r="U280" s="64"/>
      <c r="V280" s="64"/>
      <c r="W280" s="64"/>
      <c r="Y280" s="63"/>
      <c r="Z280" s="63"/>
      <c r="AA280" s="63"/>
    </row>
    <row r="281" spans="1:45" s="65" customFormat="1">
      <c r="A281" s="107" t="s">
        <v>13</v>
      </c>
      <c r="B281" s="110"/>
      <c r="C281" s="123">
        <f t="shared" ref="C281:K281" si="165">C221/100*$D$23*$D$17*C266</f>
        <v>39364.679517989243</v>
      </c>
      <c r="D281" s="123">
        <f t="shared" si="165"/>
        <v>85612.489526582387</v>
      </c>
      <c r="E281" s="123">
        <f t="shared" si="165"/>
        <v>138340.39750718503</v>
      </c>
      <c r="F281" s="123">
        <f t="shared" si="165"/>
        <v>199168.33431356959</v>
      </c>
      <c r="G281" s="123">
        <f t="shared" si="165"/>
        <v>268775.90660528187</v>
      </c>
      <c r="H281" s="123">
        <f t="shared" si="165"/>
        <v>344527.99411382584</v>
      </c>
      <c r="I281" s="123">
        <f t="shared" si="165"/>
        <v>432676.46494708577</v>
      </c>
      <c r="J281" s="123">
        <f t="shared" si="165"/>
        <v>531879.95820347674</v>
      </c>
      <c r="K281" s="123">
        <f t="shared" si="165"/>
        <v>642991.91388299712</v>
      </c>
      <c r="L281" s="30"/>
      <c r="M281" s="30"/>
      <c r="N281" s="30"/>
      <c r="P281" s="63"/>
      <c r="Q281" s="63"/>
      <c r="R281" s="63"/>
      <c r="U281" s="64"/>
      <c r="V281" s="64"/>
      <c r="W281" s="64"/>
      <c r="Y281" s="63"/>
      <c r="Z281" s="63"/>
      <c r="AA281" s="63"/>
    </row>
    <row r="282" spans="1:45" s="65" customFormat="1">
      <c r="A282" s="107" t="s">
        <v>38</v>
      </c>
      <c r="B282" s="124"/>
      <c r="C282" s="111">
        <f>+C266*$D$23*$E$13/100</f>
        <v>0</v>
      </c>
      <c r="D282" s="111">
        <f t="shared" ref="D282:K282" si="166">+D266*$D$23*$E$13/100</f>
        <v>0</v>
      </c>
      <c r="E282" s="111">
        <f t="shared" si="166"/>
        <v>0</v>
      </c>
      <c r="F282" s="111">
        <f t="shared" si="166"/>
        <v>0</v>
      </c>
      <c r="G282" s="111">
        <f t="shared" si="166"/>
        <v>0</v>
      </c>
      <c r="H282" s="111">
        <f t="shared" si="166"/>
        <v>0</v>
      </c>
      <c r="I282" s="111">
        <f t="shared" si="166"/>
        <v>0</v>
      </c>
      <c r="J282" s="111">
        <f t="shared" si="166"/>
        <v>0</v>
      </c>
      <c r="K282" s="111">
        <f t="shared" si="166"/>
        <v>0</v>
      </c>
      <c r="L282" s="64"/>
      <c r="M282" s="64"/>
      <c r="N282" s="64"/>
      <c r="P282" s="63"/>
      <c r="Q282" s="63"/>
      <c r="R282" s="63"/>
      <c r="U282" s="64"/>
      <c r="V282" s="64"/>
      <c r="W282" s="64"/>
      <c r="Y282" s="63"/>
      <c r="Z282" s="63"/>
      <c r="AA282" s="63"/>
    </row>
    <row r="283" spans="1:45">
      <c r="A283" s="107" t="s">
        <v>79</v>
      </c>
      <c r="B283" s="124"/>
      <c r="C283" s="111">
        <f t="shared" ref="C283:K283" si="167">+C277+C278+C280+C274</f>
        <v>198165.17423728353</v>
      </c>
      <c r="D283" s="111">
        <f t="shared" si="167"/>
        <v>236641.8553959587</v>
      </c>
      <c r="E283" s="111">
        <f t="shared" si="167"/>
        <v>260252.81873329976</v>
      </c>
      <c r="F283" s="111">
        <f t="shared" si="167"/>
        <v>279438.40934859932</v>
      </c>
      <c r="G283" s="112">
        <f t="shared" si="167"/>
        <v>295672.56188234489</v>
      </c>
      <c r="H283" s="111">
        <f t="shared" si="167"/>
        <v>309476.95576600998</v>
      </c>
      <c r="I283" s="111">
        <f t="shared" si="167"/>
        <v>322850.85418805532</v>
      </c>
      <c r="J283" s="111">
        <f t="shared" si="167"/>
        <v>335484.48858269991</v>
      </c>
      <c r="K283" s="111">
        <f t="shared" si="167"/>
        <v>347595.55659790221</v>
      </c>
      <c r="L283" s="64"/>
      <c r="M283" s="64"/>
      <c r="N283" s="64"/>
      <c r="O283" s="7"/>
      <c r="Q283" s="8"/>
      <c r="R283" s="8"/>
      <c r="S283" s="7"/>
      <c r="T283" s="7"/>
      <c r="U283" s="30"/>
      <c r="V283" s="30"/>
      <c r="W283" s="30"/>
      <c r="X283" s="7"/>
      <c r="Z283" s="8"/>
      <c r="AA283" s="8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</row>
    <row r="284" spans="1:45" s="65" customFormat="1">
      <c r="A284" s="107" t="s">
        <v>65</v>
      </c>
      <c r="B284" s="125" t="s">
        <v>87</v>
      </c>
      <c r="C284" s="126">
        <f t="shared" ref="C284:K284" si="168">C274+C277+C278+C279+C280+C281+C282</f>
        <v>245747.63183188695</v>
      </c>
      <c r="D284" s="126">
        <f t="shared" si="168"/>
        <v>338689.90107576945</v>
      </c>
      <c r="E284" s="126">
        <f t="shared" si="168"/>
        <v>422455.23653365241</v>
      </c>
      <c r="F284" s="126">
        <f t="shared" si="168"/>
        <v>510422.77071972564</v>
      </c>
      <c r="G284" s="126">
        <f t="shared" si="168"/>
        <v>604218.50230957277</v>
      </c>
      <c r="H284" s="126">
        <f t="shared" si="168"/>
        <v>701080.41052981641</v>
      </c>
      <c r="I284" s="126">
        <f t="shared" si="168"/>
        <v>810448.68989345175</v>
      </c>
      <c r="J284" s="126">
        <f t="shared" si="168"/>
        <v>930131.7276528175</v>
      </c>
      <c r="K284" s="126">
        <f t="shared" si="168"/>
        <v>1061200.6614558701</v>
      </c>
      <c r="L284" s="64"/>
      <c r="M284" s="64"/>
      <c r="N284" s="64"/>
      <c r="P284" s="63"/>
      <c r="Q284" s="63"/>
      <c r="R284" s="63"/>
      <c r="U284" s="64"/>
      <c r="V284" s="64"/>
      <c r="W284" s="64"/>
      <c r="Y284" s="63"/>
      <c r="Z284" s="63"/>
      <c r="AA284" s="63"/>
    </row>
    <row r="285" spans="1:45" s="65" customFormat="1">
      <c r="A285" s="107"/>
      <c r="B285" s="110"/>
      <c r="C285" s="111"/>
      <c r="D285" s="111"/>
      <c r="E285" s="111"/>
      <c r="F285" s="111"/>
      <c r="G285" s="112"/>
      <c r="H285" s="111"/>
      <c r="I285" s="111"/>
      <c r="J285" s="111"/>
      <c r="K285" s="111"/>
      <c r="L285" s="64"/>
      <c r="M285" s="64"/>
      <c r="N285" s="64"/>
      <c r="P285" s="63"/>
      <c r="Q285" s="63"/>
      <c r="R285" s="63"/>
      <c r="U285" s="64"/>
      <c r="V285" s="64"/>
      <c r="W285" s="64"/>
      <c r="Y285" s="63"/>
      <c r="Z285" s="63"/>
      <c r="AA285" s="63"/>
    </row>
    <row r="286" spans="1:45" s="65" customFormat="1">
      <c r="A286" s="107" t="s">
        <v>4</v>
      </c>
      <c r="B286" s="110"/>
      <c r="C286" s="111">
        <v>200</v>
      </c>
      <c r="D286" s="111">
        <v>400</v>
      </c>
      <c r="E286" s="111">
        <v>600</v>
      </c>
      <c r="F286" s="111">
        <v>800</v>
      </c>
      <c r="G286" s="112">
        <v>1000</v>
      </c>
      <c r="H286" s="111">
        <v>1200</v>
      </c>
      <c r="I286" s="111">
        <v>1400</v>
      </c>
      <c r="J286" s="111">
        <v>1600</v>
      </c>
      <c r="K286" s="111">
        <v>1800</v>
      </c>
      <c r="L286" s="64"/>
      <c r="M286" s="64"/>
      <c r="N286" s="64"/>
      <c r="P286" s="63"/>
      <c r="Q286" s="63"/>
      <c r="R286" s="63"/>
      <c r="U286" s="64"/>
      <c r="V286" s="64"/>
      <c r="W286" s="64"/>
      <c r="Y286" s="63"/>
      <c r="Z286" s="63"/>
      <c r="AA286" s="63"/>
    </row>
    <row r="287" spans="1:45" s="65" customFormat="1">
      <c r="A287" s="107"/>
      <c r="B287" s="110"/>
      <c r="C287" s="111"/>
      <c r="D287" s="111"/>
      <c r="E287" s="111"/>
      <c r="F287" s="111"/>
      <c r="G287" s="112"/>
      <c r="H287" s="111"/>
      <c r="I287" s="111"/>
      <c r="J287" s="111"/>
      <c r="K287" s="111"/>
      <c r="L287" s="64"/>
      <c r="M287" s="64"/>
      <c r="N287" s="64"/>
      <c r="P287" s="63"/>
      <c r="Q287" s="63"/>
      <c r="R287" s="63"/>
      <c r="U287" s="64"/>
      <c r="V287" s="64"/>
      <c r="W287" s="64"/>
      <c r="Y287" s="63"/>
      <c r="Z287" s="63"/>
      <c r="AA287" s="63"/>
    </row>
    <row r="288" spans="1:45" s="65" customFormat="1">
      <c r="A288" s="107" t="s">
        <v>57</v>
      </c>
      <c r="B288" s="110"/>
      <c r="C288" s="111">
        <f t="shared" ref="C288:K293" si="169">+C158</f>
        <v>0</v>
      </c>
      <c r="D288" s="111">
        <f t="shared" si="169"/>
        <v>0</v>
      </c>
      <c r="E288" s="111">
        <f t="shared" si="169"/>
        <v>0</v>
      </c>
      <c r="F288" s="111">
        <f t="shared" si="169"/>
        <v>0</v>
      </c>
      <c r="G288" s="112">
        <f t="shared" si="169"/>
        <v>0</v>
      </c>
      <c r="H288" s="111">
        <f t="shared" si="169"/>
        <v>0</v>
      </c>
      <c r="I288" s="111">
        <f t="shared" si="169"/>
        <v>0</v>
      </c>
      <c r="J288" s="111">
        <f t="shared" si="169"/>
        <v>0</v>
      </c>
      <c r="K288" s="111">
        <f t="shared" si="169"/>
        <v>0</v>
      </c>
      <c r="L288" s="64"/>
      <c r="M288" s="64"/>
      <c r="N288" s="64"/>
      <c r="Q288" s="63"/>
      <c r="R288" s="63"/>
      <c r="U288" s="64"/>
      <c r="V288" s="64"/>
      <c r="W288" s="64"/>
      <c r="Z288" s="63"/>
      <c r="AA288" s="63"/>
    </row>
    <row r="289" spans="1:45" s="65" customFormat="1">
      <c r="A289" s="107" t="s">
        <v>58</v>
      </c>
      <c r="B289" s="110"/>
      <c r="C289" s="111">
        <f t="shared" si="169"/>
        <v>0</v>
      </c>
      <c r="D289" s="111">
        <f t="shared" si="169"/>
        <v>0</v>
      </c>
      <c r="E289" s="111">
        <f t="shared" si="169"/>
        <v>0</v>
      </c>
      <c r="F289" s="111">
        <f t="shared" si="169"/>
        <v>0</v>
      </c>
      <c r="G289" s="112">
        <f t="shared" si="169"/>
        <v>0</v>
      </c>
      <c r="H289" s="111">
        <f t="shared" si="169"/>
        <v>0</v>
      </c>
      <c r="I289" s="111">
        <f t="shared" si="169"/>
        <v>0</v>
      </c>
      <c r="J289" s="111">
        <f t="shared" si="169"/>
        <v>0</v>
      </c>
      <c r="K289" s="111">
        <f t="shared" si="169"/>
        <v>0</v>
      </c>
      <c r="L289" s="64"/>
      <c r="M289" s="64"/>
      <c r="N289" s="64"/>
      <c r="Q289" s="63"/>
      <c r="R289" s="63"/>
      <c r="U289" s="64"/>
      <c r="V289" s="64"/>
      <c r="W289" s="64"/>
      <c r="Z289" s="63"/>
      <c r="AA289" s="63"/>
    </row>
    <row r="290" spans="1:45" s="65" customFormat="1">
      <c r="A290" s="107" t="s">
        <v>59</v>
      </c>
      <c r="B290" s="110"/>
      <c r="C290" s="111">
        <f t="shared" si="169"/>
        <v>610.02039215686284</v>
      </c>
      <c r="D290" s="111">
        <f t="shared" si="169"/>
        <v>1220.0407843137257</v>
      </c>
      <c r="E290" s="111">
        <f t="shared" si="169"/>
        <v>1830.0611764705884</v>
      </c>
      <c r="F290" s="111">
        <f t="shared" si="169"/>
        <v>2440.0815686274514</v>
      </c>
      <c r="G290" s="112">
        <f t="shared" si="169"/>
        <v>3050.1019607843141</v>
      </c>
      <c r="H290" s="111">
        <f t="shared" si="169"/>
        <v>3660.1223529411768</v>
      </c>
      <c r="I290" s="111">
        <f t="shared" si="169"/>
        <v>4270.14274509804</v>
      </c>
      <c r="J290" s="111">
        <f t="shared" si="169"/>
        <v>4880.1631372549027</v>
      </c>
      <c r="K290" s="111">
        <f t="shared" si="169"/>
        <v>5490.1835294117654</v>
      </c>
      <c r="L290" s="64"/>
      <c r="M290" s="64"/>
      <c r="N290" s="64"/>
      <c r="U290" s="64"/>
      <c r="V290" s="64"/>
      <c r="W290" s="64"/>
    </row>
    <row r="291" spans="1:45" s="65" customFormat="1">
      <c r="A291" s="107" t="s">
        <v>60</v>
      </c>
      <c r="B291" s="110"/>
      <c r="C291" s="111">
        <f t="shared" si="169"/>
        <v>2838.0509259259256</v>
      </c>
      <c r="D291" s="111">
        <f t="shared" si="169"/>
        <v>5676.1018518518513</v>
      </c>
      <c r="E291" s="111">
        <f t="shared" si="169"/>
        <v>8514.1527777777792</v>
      </c>
      <c r="F291" s="111">
        <f t="shared" si="169"/>
        <v>11352.203703703703</v>
      </c>
      <c r="G291" s="112">
        <f t="shared" si="169"/>
        <v>14190.254629629633</v>
      </c>
      <c r="H291" s="111">
        <f t="shared" si="169"/>
        <v>17028.305555555558</v>
      </c>
      <c r="I291" s="111">
        <f t="shared" si="169"/>
        <v>19866.356481481482</v>
      </c>
      <c r="J291" s="111">
        <f t="shared" si="169"/>
        <v>22704.407407407405</v>
      </c>
      <c r="K291" s="111">
        <f t="shared" si="169"/>
        <v>25542.458333333332</v>
      </c>
      <c r="L291" s="64"/>
      <c r="M291" s="64"/>
      <c r="N291" s="64"/>
      <c r="U291" s="64"/>
      <c r="V291" s="64"/>
      <c r="W291" s="64"/>
    </row>
    <row r="292" spans="1:45" s="65" customFormat="1">
      <c r="A292" s="107" t="s">
        <v>61</v>
      </c>
      <c r="B292" s="110"/>
      <c r="C292" s="111">
        <f t="shared" si="169"/>
        <v>346.57219047619043</v>
      </c>
      <c r="D292" s="111">
        <f t="shared" si="169"/>
        <v>693.14438095238086</v>
      </c>
      <c r="E292" s="111">
        <f t="shared" si="169"/>
        <v>1039.7165714285713</v>
      </c>
      <c r="F292" s="111">
        <f t="shared" si="169"/>
        <v>1386.2887619047617</v>
      </c>
      <c r="G292" s="112">
        <f t="shared" si="169"/>
        <v>1732.8609523809521</v>
      </c>
      <c r="H292" s="111">
        <f t="shared" si="169"/>
        <v>2079.4331428571427</v>
      </c>
      <c r="I292" s="111">
        <f t="shared" si="169"/>
        <v>2426.0053333333331</v>
      </c>
      <c r="J292" s="111">
        <f t="shared" si="169"/>
        <v>2772.5775238095234</v>
      </c>
      <c r="K292" s="111">
        <f t="shared" si="169"/>
        <v>3119.1497142857147</v>
      </c>
      <c r="L292" s="64"/>
      <c r="M292" s="64"/>
      <c r="N292" s="64"/>
      <c r="U292" s="64"/>
      <c r="V292" s="64"/>
      <c r="W292" s="64"/>
    </row>
    <row r="293" spans="1:45" s="65" customFormat="1">
      <c r="A293" s="107" t="s">
        <v>62</v>
      </c>
      <c r="B293" s="110"/>
      <c r="C293" s="111">
        <f t="shared" si="169"/>
        <v>3646.5692992924514</v>
      </c>
      <c r="D293" s="111">
        <f t="shared" si="169"/>
        <v>7293.1385985849029</v>
      </c>
      <c r="E293" s="111">
        <f t="shared" si="169"/>
        <v>10494.8236461779</v>
      </c>
      <c r="F293" s="111">
        <f t="shared" si="169"/>
        <v>13993.098194903867</v>
      </c>
      <c r="G293" s="112">
        <f t="shared" si="169"/>
        <v>17491.372743629832</v>
      </c>
      <c r="H293" s="111">
        <f t="shared" si="169"/>
        <v>20625.01293971081</v>
      </c>
      <c r="I293" s="111">
        <f t="shared" si="169"/>
        <v>24062.51509632928</v>
      </c>
      <c r="J293" s="111">
        <f t="shared" si="169"/>
        <v>27500.017252947753</v>
      </c>
      <c r="K293" s="111">
        <f t="shared" si="169"/>
        <v>30937.519409566215</v>
      </c>
      <c r="L293" s="64"/>
      <c r="M293" s="64"/>
      <c r="N293" s="64"/>
      <c r="U293" s="64"/>
      <c r="V293" s="64"/>
      <c r="W293" s="64"/>
    </row>
    <row r="294" spans="1:45" s="65" customFormat="1">
      <c r="A294" s="107" t="s">
        <v>12</v>
      </c>
      <c r="B294" s="110"/>
      <c r="C294" s="111">
        <f t="shared" ref="C294:K294" si="170">SUM(C288:C293)</f>
        <v>7441.2128078514306</v>
      </c>
      <c r="D294" s="111">
        <f t="shared" si="170"/>
        <v>14882.425615702861</v>
      </c>
      <c r="E294" s="111">
        <f t="shared" si="170"/>
        <v>21878.754171854838</v>
      </c>
      <c r="F294" s="111">
        <f t="shared" si="170"/>
        <v>29171.672229139782</v>
      </c>
      <c r="G294" s="112">
        <f t="shared" si="170"/>
        <v>36464.590286424733</v>
      </c>
      <c r="H294" s="111">
        <f t="shared" si="170"/>
        <v>43392.873991064684</v>
      </c>
      <c r="I294" s="111">
        <f t="shared" si="170"/>
        <v>50625.019656242133</v>
      </c>
      <c r="J294" s="111">
        <f t="shared" si="170"/>
        <v>57857.165321419583</v>
      </c>
      <c r="K294" s="111">
        <f t="shared" si="170"/>
        <v>65089.310986597025</v>
      </c>
      <c r="L294" s="64"/>
      <c r="M294" s="64"/>
      <c r="N294" s="64"/>
      <c r="U294" s="64"/>
      <c r="V294" s="64"/>
      <c r="W294" s="64"/>
    </row>
    <row r="295" spans="1:45" s="65" customFormat="1">
      <c r="A295" s="107" t="s">
        <v>32</v>
      </c>
      <c r="B295" s="110"/>
      <c r="C295" s="122">
        <f t="shared" ref="C295:K295" si="171">(99.94-5.257*C238+0.1755*C238*C238-0.06767*$F$5-0.002662*C235*C238)/100*$I$5</f>
        <v>608544.18885317654</v>
      </c>
      <c r="D295" s="122">
        <f t="shared" si="171"/>
        <v>592046.19560635311</v>
      </c>
      <c r="E295" s="122">
        <f t="shared" si="171"/>
        <v>577393.85263552226</v>
      </c>
      <c r="F295" s="122">
        <f t="shared" si="171"/>
        <v>561511.07614736294</v>
      </c>
      <c r="G295" s="122">
        <f t="shared" si="171"/>
        <v>545628.29965920374</v>
      </c>
      <c r="H295" s="122">
        <f t="shared" si="171"/>
        <v>531164.39677754173</v>
      </c>
      <c r="I295" s="122">
        <f t="shared" si="171"/>
        <v>515518.09922379866</v>
      </c>
      <c r="J295" s="122">
        <f t="shared" si="171"/>
        <v>499871.80167005555</v>
      </c>
      <c r="K295" s="122">
        <f t="shared" si="171"/>
        <v>484225.50411631266</v>
      </c>
      <c r="L295" s="71"/>
      <c r="M295" s="71"/>
      <c r="N295" s="71"/>
      <c r="U295" s="64"/>
      <c r="V295" s="64"/>
      <c r="W295" s="64"/>
    </row>
    <row r="296" spans="1:45" s="65" customFormat="1">
      <c r="A296" s="107" t="s">
        <v>33</v>
      </c>
      <c r="B296" s="110"/>
      <c r="C296" s="111">
        <f t="shared" ref="C296:K296" si="172">+C166</f>
        <v>46827.467301342811</v>
      </c>
      <c r="D296" s="111">
        <f t="shared" si="172"/>
        <v>46827.467301342811</v>
      </c>
      <c r="E296" s="111">
        <f t="shared" si="172"/>
        <v>46827.467301342811</v>
      </c>
      <c r="F296" s="111">
        <f t="shared" si="172"/>
        <v>46827.467301342811</v>
      </c>
      <c r="G296" s="112">
        <f t="shared" si="172"/>
        <v>46827.467301342811</v>
      </c>
      <c r="H296" s="111">
        <f t="shared" si="172"/>
        <v>46827.467301342811</v>
      </c>
      <c r="I296" s="111">
        <f t="shared" si="172"/>
        <v>46827.467301342811</v>
      </c>
      <c r="J296" s="111">
        <f t="shared" si="172"/>
        <v>46827.467301342811</v>
      </c>
      <c r="K296" s="111">
        <f t="shared" si="172"/>
        <v>46827.467301342811</v>
      </c>
      <c r="L296" s="64"/>
      <c r="M296" s="64"/>
      <c r="N296" s="64"/>
      <c r="U296" s="64"/>
      <c r="V296" s="64"/>
      <c r="W296" s="64"/>
    </row>
    <row r="297" spans="1:45" s="72" customFormat="1">
      <c r="A297" s="107" t="s">
        <v>63</v>
      </c>
      <c r="B297" s="127"/>
      <c r="C297" s="118">
        <f t="shared" ref="C297:K297" si="173">+(($I$5-C295)/C238+($I$5+C295)/2*$D$21)/C235*(C234-C228*$D$19)*2</f>
        <v>71940.247354870517</v>
      </c>
      <c r="D297" s="118">
        <f t="shared" si="173"/>
        <v>102123.47398375071</v>
      </c>
      <c r="E297" s="118">
        <f t="shared" si="173"/>
        <v>117273.78539136556</v>
      </c>
      <c r="F297" s="118">
        <f t="shared" si="173"/>
        <v>128684.9554214222</v>
      </c>
      <c r="G297" s="118">
        <f t="shared" si="173"/>
        <v>137036.31367209298</v>
      </c>
      <c r="H297" s="118">
        <f t="shared" si="173"/>
        <v>142676.14318408884</v>
      </c>
      <c r="I297" s="118">
        <f t="shared" si="173"/>
        <v>148030.81684558745</v>
      </c>
      <c r="J297" s="118">
        <f t="shared" si="173"/>
        <v>152582.18166781461</v>
      </c>
      <c r="K297" s="118">
        <f t="shared" si="173"/>
        <v>156561.05967521269</v>
      </c>
      <c r="L297" s="64"/>
      <c r="M297" s="64"/>
      <c r="N297" s="64"/>
      <c r="U297" s="71"/>
      <c r="V297" s="71"/>
      <c r="W297" s="71"/>
    </row>
    <row r="298" spans="1:45" s="65" customFormat="1">
      <c r="A298" s="107" t="s">
        <v>26</v>
      </c>
      <c r="B298" s="110"/>
      <c r="C298" s="111">
        <f t="shared" ref="C298:K300" si="174">+C168</f>
        <v>163549.89819260399</v>
      </c>
      <c r="D298" s="111">
        <f t="shared" si="174"/>
        <v>163549.89819260399</v>
      </c>
      <c r="E298" s="111">
        <f t="shared" si="174"/>
        <v>163549.89819260399</v>
      </c>
      <c r="F298" s="111">
        <f t="shared" si="174"/>
        <v>163549.89819260399</v>
      </c>
      <c r="G298" s="112">
        <f t="shared" si="174"/>
        <v>163549.89819260399</v>
      </c>
      <c r="H298" s="111">
        <f t="shared" si="174"/>
        <v>163549.89819260399</v>
      </c>
      <c r="I298" s="111">
        <f t="shared" si="174"/>
        <v>163549.89819260399</v>
      </c>
      <c r="J298" s="111">
        <f t="shared" si="174"/>
        <v>163549.89819260399</v>
      </c>
      <c r="K298" s="111">
        <f t="shared" si="174"/>
        <v>163549.89819260399</v>
      </c>
      <c r="L298" s="64"/>
      <c r="M298" s="64"/>
      <c r="N298" s="64"/>
      <c r="U298" s="64"/>
      <c r="V298" s="64"/>
      <c r="W298" s="64"/>
    </row>
    <row r="299" spans="1:45" s="65" customFormat="1">
      <c r="A299" s="107" t="s">
        <v>31</v>
      </c>
      <c r="B299" s="110"/>
      <c r="C299" s="111">
        <f t="shared" si="174"/>
        <v>7548.5609389871597</v>
      </c>
      <c r="D299" s="111">
        <f t="shared" si="174"/>
        <v>15097.121877974319</v>
      </c>
      <c r="E299" s="111">
        <f t="shared" si="174"/>
        <v>21724.752592105851</v>
      </c>
      <c r="F299" s="111">
        <f t="shared" si="174"/>
        <v>28966.336789474466</v>
      </c>
      <c r="G299" s="112">
        <f t="shared" si="174"/>
        <v>36207.920986843084</v>
      </c>
      <c r="H299" s="111">
        <f t="shared" si="174"/>
        <v>42694.695826297429</v>
      </c>
      <c r="I299" s="111">
        <f t="shared" si="174"/>
        <v>49810.478464013671</v>
      </c>
      <c r="J299" s="111">
        <f t="shared" si="174"/>
        <v>56926.261101729913</v>
      </c>
      <c r="K299" s="111">
        <f t="shared" si="174"/>
        <v>64042.043739446141</v>
      </c>
      <c r="L299" s="64"/>
      <c r="M299" s="64"/>
      <c r="N299" s="64"/>
      <c r="U299" s="64"/>
      <c r="V299" s="64"/>
      <c r="W299" s="64"/>
    </row>
    <row r="300" spans="1:45" s="65" customFormat="1">
      <c r="A300" s="107" t="s">
        <v>30</v>
      </c>
      <c r="B300" s="110"/>
      <c r="C300" s="111">
        <f t="shared" si="174"/>
        <v>2951.6034588507327</v>
      </c>
      <c r="D300" s="111">
        <f t="shared" si="174"/>
        <v>5903.2069177014655</v>
      </c>
      <c r="E300" s="111">
        <f t="shared" si="174"/>
        <v>8494.7124904763423</v>
      </c>
      <c r="F300" s="111">
        <f t="shared" si="174"/>
        <v>11326.283320635122</v>
      </c>
      <c r="G300" s="112">
        <f t="shared" si="174"/>
        <v>14157.854150793903</v>
      </c>
      <c r="H300" s="111">
        <f t="shared" si="174"/>
        <v>16694.282909556547</v>
      </c>
      <c r="I300" s="111">
        <f t="shared" si="174"/>
        <v>19476.663394482635</v>
      </c>
      <c r="J300" s="111">
        <f t="shared" si="174"/>
        <v>22259.043879408731</v>
      </c>
      <c r="K300" s="111">
        <f t="shared" si="174"/>
        <v>25041.424364334816</v>
      </c>
      <c r="L300" s="64"/>
      <c r="M300" s="64"/>
      <c r="N300" s="64"/>
      <c r="P300" s="5"/>
      <c r="U300" s="64"/>
      <c r="V300" s="64"/>
      <c r="W300" s="64"/>
      <c r="Y300" s="5"/>
    </row>
    <row r="301" spans="1:45" s="65" customFormat="1">
      <c r="A301" s="107" t="s">
        <v>13</v>
      </c>
      <c r="B301" s="110"/>
      <c r="C301" s="123">
        <f t="shared" ref="C301:K301" si="175">C241/100*$D$23*$D$17*C286</f>
        <v>40207.386736913773</v>
      </c>
      <c r="D301" s="123">
        <f t="shared" si="175"/>
        <v>85523.271794682223</v>
      </c>
      <c r="E301" s="123">
        <f t="shared" si="175"/>
        <v>136058.01482124947</v>
      </c>
      <c r="F301" s="123">
        <f t="shared" si="175"/>
        <v>192055.96716797951</v>
      </c>
      <c r="G301" s="123">
        <f t="shared" si="175"/>
        <v>254798.95988453252</v>
      </c>
      <c r="H301" s="123">
        <f t="shared" si="175"/>
        <v>321184.15340562153</v>
      </c>
      <c r="I301" s="123">
        <f t="shared" si="175"/>
        <v>397912.58009567042</v>
      </c>
      <c r="J301" s="123">
        <f t="shared" si="175"/>
        <v>483544.77091594134</v>
      </c>
      <c r="K301" s="123">
        <f t="shared" si="175"/>
        <v>578934.16586643539</v>
      </c>
      <c r="L301" s="30"/>
      <c r="M301" s="30"/>
      <c r="N301" s="30"/>
      <c r="P301" s="5"/>
      <c r="U301" s="64"/>
      <c r="V301" s="64"/>
      <c r="W301" s="64"/>
      <c r="Y301" s="5"/>
    </row>
    <row r="302" spans="1:45" s="65" customFormat="1">
      <c r="A302" s="107" t="s">
        <v>38</v>
      </c>
      <c r="B302" s="124"/>
      <c r="C302" s="111">
        <f>+C286*$D$23*$F$13/100</f>
        <v>0</v>
      </c>
      <c r="D302" s="111">
        <f t="shared" ref="D302:K302" si="176">+D286*$D$23*$F$13/100</f>
        <v>0</v>
      </c>
      <c r="E302" s="111">
        <f t="shared" si="176"/>
        <v>0</v>
      </c>
      <c r="F302" s="111">
        <f t="shared" si="176"/>
        <v>0</v>
      </c>
      <c r="G302" s="111">
        <f t="shared" si="176"/>
        <v>0</v>
      </c>
      <c r="H302" s="111">
        <f t="shared" si="176"/>
        <v>0</v>
      </c>
      <c r="I302" s="111">
        <f t="shared" si="176"/>
        <v>0</v>
      </c>
      <c r="J302" s="111">
        <f t="shared" si="176"/>
        <v>0</v>
      </c>
      <c r="K302" s="111">
        <f t="shared" si="176"/>
        <v>0</v>
      </c>
      <c r="L302" s="5"/>
      <c r="M302" s="5"/>
      <c r="N302" s="5"/>
      <c r="P302" s="5"/>
      <c r="U302" s="64"/>
      <c r="V302" s="64"/>
      <c r="W302" s="64"/>
      <c r="Y302" s="5"/>
    </row>
    <row r="303" spans="1:45">
      <c r="A303" s="107" t="s">
        <v>80</v>
      </c>
      <c r="B303" s="124"/>
      <c r="C303" s="111">
        <f t="shared" ref="C303:K303" si="177">+C297+C298+C300+C294</f>
        <v>245882.96181417667</v>
      </c>
      <c r="D303" s="111">
        <f t="shared" si="177"/>
        <v>286459.00470975903</v>
      </c>
      <c r="E303" s="111">
        <f t="shared" si="177"/>
        <v>311197.15024630068</v>
      </c>
      <c r="F303" s="111">
        <f t="shared" si="177"/>
        <v>332732.80916380114</v>
      </c>
      <c r="G303" s="112">
        <f t="shared" si="177"/>
        <v>351208.65630191559</v>
      </c>
      <c r="H303" s="111">
        <f t="shared" si="177"/>
        <v>366313.19827731402</v>
      </c>
      <c r="I303" s="111">
        <f t="shared" si="177"/>
        <v>381682.3980889162</v>
      </c>
      <c r="J303" s="111">
        <f t="shared" si="177"/>
        <v>396248.28906124691</v>
      </c>
      <c r="K303" s="111">
        <f t="shared" si="177"/>
        <v>410241.69321874849</v>
      </c>
      <c r="L303" s="5"/>
      <c r="O303" s="7"/>
      <c r="Q303" s="8"/>
      <c r="R303" s="8"/>
      <c r="S303" s="7"/>
      <c r="T303" s="7"/>
      <c r="U303" s="30"/>
      <c r="V303" s="30"/>
      <c r="W303" s="30"/>
      <c r="X303" s="7"/>
      <c r="Z303" s="8"/>
      <c r="AA303" s="8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</row>
    <row r="304" spans="1:45" s="65" customFormat="1">
      <c r="A304" s="107" t="s">
        <v>66</v>
      </c>
      <c r="B304" s="125" t="s">
        <v>88</v>
      </c>
      <c r="C304" s="126">
        <f t="shared" ref="C304:K304" si="178">C294+C297+C298+C299+C300+C301+C302</f>
        <v>293638.90949007758</v>
      </c>
      <c r="D304" s="126">
        <f t="shared" si="178"/>
        <v>387079.39838241553</v>
      </c>
      <c r="E304" s="126">
        <f t="shared" si="178"/>
        <v>468979.91765965603</v>
      </c>
      <c r="F304" s="126">
        <f t="shared" si="178"/>
        <v>553755.11312125507</v>
      </c>
      <c r="G304" s="126">
        <f t="shared" si="178"/>
        <v>642215.5371732912</v>
      </c>
      <c r="H304" s="126">
        <f t="shared" si="178"/>
        <v>730192.047509233</v>
      </c>
      <c r="I304" s="126">
        <f t="shared" si="178"/>
        <v>829405.45664860029</v>
      </c>
      <c r="J304" s="126">
        <f t="shared" si="178"/>
        <v>936719.32107891818</v>
      </c>
      <c r="K304" s="126">
        <f t="shared" si="178"/>
        <v>1053217.90282463</v>
      </c>
      <c r="L304" s="5"/>
      <c r="M304" s="5"/>
      <c r="N304" s="5"/>
      <c r="P304" s="5"/>
      <c r="U304" s="5"/>
      <c r="V304" s="5"/>
      <c r="W304" s="5"/>
      <c r="Y304" s="5"/>
    </row>
    <row r="305" spans="1:20">
      <c r="A305" s="107"/>
      <c r="B305" s="128"/>
      <c r="C305" s="111"/>
      <c r="D305" s="111"/>
      <c r="E305" s="111"/>
      <c r="F305" s="111"/>
      <c r="G305" s="112"/>
      <c r="H305" s="111"/>
      <c r="I305" s="111"/>
      <c r="J305" s="111"/>
      <c r="K305" s="111"/>
      <c r="L305" s="5"/>
    </row>
    <row r="306" spans="1:20">
      <c r="A306" s="107"/>
      <c r="B306" s="129"/>
      <c r="C306" s="111"/>
      <c r="D306" s="111"/>
      <c r="E306" s="111"/>
      <c r="F306" s="111"/>
      <c r="G306" s="112"/>
      <c r="H306" s="111"/>
      <c r="I306" s="111"/>
      <c r="J306" s="111"/>
      <c r="K306" s="111"/>
      <c r="L306" s="67"/>
      <c r="M306" s="66"/>
      <c r="N306" s="66"/>
    </row>
    <row r="307" spans="1:20">
      <c r="A307" s="107" t="s">
        <v>45</v>
      </c>
      <c r="B307" s="129"/>
      <c r="C307" s="111">
        <f t="shared" ref="C307:K307" si="179">+C286*$D$17*$D$23</f>
        <v>355600</v>
      </c>
      <c r="D307" s="111">
        <f t="shared" si="179"/>
        <v>711200</v>
      </c>
      <c r="E307" s="111">
        <f t="shared" si="179"/>
        <v>1066800</v>
      </c>
      <c r="F307" s="111">
        <f t="shared" si="179"/>
        <v>1422400</v>
      </c>
      <c r="G307" s="112">
        <f t="shared" si="179"/>
        <v>1778000</v>
      </c>
      <c r="H307" s="111">
        <f t="shared" si="179"/>
        <v>2133600</v>
      </c>
      <c r="I307" s="111">
        <f t="shared" si="179"/>
        <v>2489200</v>
      </c>
      <c r="J307" s="111">
        <f t="shared" si="179"/>
        <v>2844800</v>
      </c>
      <c r="K307" s="111">
        <f t="shared" si="179"/>
        <v>3200400</v>
      </c>
      <c r="L307" s="67"/>
      <c r="M307" s="66"/>
      <c r="N307" s="66"/>
    </row>
    <row r="308" spans="1:20">
      <c r="A308" s="23"/>
      <c r="B308" s="23"/>
      <c r="C308" s="66"/>
      <c r="D308" s="66"/>
      <c r="E308" s="66"/>
      <c r="F308" s="66"/>
      <c r="G308" s="66"/>
      <c r="H308" s="66"/>
      <c r="I308" s="66"/>
      <c r="J308" s="66"/>
      <c r="K308" s="66"/>
      <c r="L308" s="73"/>
      <c r="M308" s="24"/>
      <c r="N308" s="24"/>
      <c r="O308" s="66"/>
      <c r="P308" s="66"/>
      <c r="Q308" s="66"/>
      <c r="R308" s="66"/>
      <c r="S308" s="66"/>
      <c r="T308" s="66"/>
    </row>
    <row r="309" spans="1:20">
      <c r="A309" s="23"/>
      <c r="B309" s="23"/>
      <c r="C309" s="66"/>
      <c r="D309" s="66"/>
      <c r="E309" s="66"/>
      <c r="F309" s="66"/>
      <c r="G309" s="66"/>
      <c r="H309" s="66"/>
      <c r="I309" s="66"/>
      <c r="J309" s="66"/>
      <c r="K309" s="66"/>
      <c r="L309" s="73"/>
      <c r="M309" s="24"/>
      <c r="N309" s="24"/>
      <c r="O309" s="66"/>
      <c r="P309" s="66"/>
      <c r="Q309" s="66"/>
      <c r="R309" s="66"/>
      <c r="S309" s="66"/>
      <c r="T309" s="66"/>
    </row>
    <row r="310" spans="1:20">
      <c r="A310" s="22"/>
      <c r="B310" s="22"/>
      <c r="C310" s="24"/>
      <c r="D310" s="24"/>
      <c r="E310" s="24"/>
      <c r="F310" s="24"/>
      <c r="G310" s="24"/>
      <c r="H310" s="24"/>
      <c r="I310" s="24"/>
      <c r="J310" s="24"/>
      <c r="K310" s="24"/>
      <c r="L310" s="73"/>
      <c r="M310" s="24"/>
      <c r="N310" s="24"/>
      <c r="O310" s="24"/>
      <c r="P310" s="24"/>
      <c r="Q310" s="24"/>
      <c r="R310" s="24"/>
      <c r="S310" s="24"/>
      <c r="T310" s="24"/>
    </row>
    <row r="311" spans="1:20">
      <c r="A311" s="22"/>
      <c r="B311" s="22"/>
      <c r="C311" s="24"/>
      <c r="D311" s="24"/>
      <c r="E311" s="24"/>
      <c r="F311" s="24"/>
      <c r="G311" s="24"/>
      <c r="H311" s="24"/>
      <c r="I311" s="24"/>
      <c r="J311" s="24"/>
      <c r="K311" s="24"/>
      <c r="L311" s="73"/>
      <c r="M311" s="24"/>
      <c r="N311" s="24"/>
      <c r="O311" s="24"/>
      <c r="P311" s="24"/>
      <c r="Q311" s="24"/>
      <c r="R311" s="24"/>
      <c r="S311" s="24"/>
      <c r="T311" s="24"/>
    </row>
    <row r="312" spans="1:20">
      <c r="A312" s="22"/>
      <c r="B312" s="22"/>
      <c r="C312" s="24"/>
      <c r="D312" s="24"/>
      <c r="E312" s="24"/>
      <c r="F312" s="24"/>
      <c r="G312" s="24"/>
      <c r="H312" s="24"/>
      <c r="I312" s="24"/>
      <c r="J312" s="24"/>
      <c r="K312" s="24"/>
      <c r="L312" s="73"/>
      <c r="M312" s="24"/>
      <c r="N312" s="24"/>
      <c r="O312" s="24"/>
      <c r="P312" s="24"/>
      <c r="Q312" s="24"/>
      <c r="R312" s="24"/>
      <c r="S312" s="24"/>
      <c r="T312" s="24"/>
    </row>
    <row r="313" spans="1:20">
      <c r="A313" s="22"/>
      <c r="B313" s="22"/>
      <c r="C313" s="24"/>
      <c r="D313" s="24"/>
      <c r="E313" s="24"/>
      <c r="F313" s="24"/>
      <c r="G313" s="24"/>
      <c r="H313" s="24"/>
      <c r="I313" s="24"/>
      <c r="J313" s="24"/>
      <c r="K313" s="24"/>
      <c r="L313" s="73"/>
      <c r="M313" s="24"/>
      <c r="N313" s="24"/>
      <c r="O313" s="24"/>
      <c r="P313" s="24"/>
      <c r="Q313" s="24"/>
      <c r="R313" s="24"/>
      <c r="S313" s="24"/>
      <c r="T313" s="24"/>
    </row>
    <row r="314" spans="1:20">
      <c r="A314" s="22"/>
      <c r="B314" s="22"/>
      <c r="C314" s="24"/>
      <c r="D314" s="24"/>
      <c r="E314" s="24"/>
      <c r="F314" s="24"/>
      <c r="G314" s="24"/>
      <c r="H314" s="24"/>
      <c r="I314" s="24"/>
      <c r="J314" s="24"/>
      <c r="K314" s="24"/>
      <c r="L314" s="73"/>
      <c r="M314" s="24"/>
      <c r="N314" s="24"/>
      <c r="O314" s="24"/>
      <c r="P314" s="24"/>
      <c r="Q314" s="24"/>
      <c r="R314" s="24"/>
      <c r="S314" s="24"/>
      <c r="T314" s="24"/>
    </row>
    <row r="315" spans="1:20">
      <c r="A315" s="22"/>
      <c r="B315" s="22"/>
      <c r="C315" s="24"/>
      <c r="D315" s="24"/>
      <c r="E315" s="24"/>
      <c r="F315" s="24"/>
      <c r="G315" s="24"/>
      <c r="H315" s="24"/>
      <c r="I315" s="24"/>
      <c r="J315" s="24"/>
      <c r="K315" s="24"/>
      <c r="L315" s="73"/>
      <c r="M315" s="24"/>
      <c r="N315" s="24"/>
      <c r="O315" s="24"/>
      <c r="P315" s="24"/>
      <c r="Q315" s="24"/>
      <c r="R315" s="24"/>
      <c r="S315" s="24"/>
      <c r="T315" s="24"/>
    </row>
    <row r="316" spans="1:20">
      <c r="A316" s="22"/>
      <c r="B316" s="22"/>
      <c r="C316" s="24"/>
      <c r="D316" s="24"/>
      <c r="E316" s="24"/>
      <c r="F316" s="24"/>
      <c r="G316" s="24"/>
      <c r="H316" s="24"/>
      <c r="I316" s="24"/>
      <c r="J316" s="24"/>
      <c r="K316" s="24"/>
      <c r="L316" s="73"/>
      <c r="M316" s="24"/>
      <c r="N316" s="24"/>
      <c r="O316" s="24"/>
      <c r="P316" s="24"/>
      <c r="Q316" s="24"/>
      <c r="R316" s="24"/>
      <c r="S316" s="24"/>
      <c r="T316" s="24"/>
    </row>
    <row r="317" spans="1:20">
      <c r="A317" s="22"/>
      <c r="B317" s="22"/>
      <c r="C317" s="24"/>
      <c r="D317" s="24"/>
      <c r="E317" s="24"/>
      <c r="F317" s="24"/>
      <c r="G317" s="24"/>
      <c r="H317" s="24"/>
      <c r="I317" s="24"/>
      <c r="J317" s="24"/>
      <c r="K317" s="24"/>
      <c r="L317" s="73"/>
      <c r="M317" s="24"/>
      <c r="N317" s="24"/>
      <c r="O317" s="24"/>
      <c r="P317" s="24"/>
      <c r="Q317" s="24"/>
      <c r="R317" s="24"/>
      <c r="S317" s="24"/>
      <c r="T317" s="24"/>
    </row>
    <row r="318" spans="1:20">
      <c r="A318" s="22"/>
      <c r="B318" s="22"/>
      <c r="C318" s="24"/>
      <c r="D318" s="24"/>
      <c r="E318" s="24"/>
      <c r="F318" s="24"/>
      <c r="G318" s="24"/>
      <c r="H318" s="24"/>
      <c r="I318" s="24"/>
      <c r="J318" s="24"/>
      <c r="K318" s="24"/>
      <c r="L318" s="73"/>
      <c r="M318" s="24"/>
      <c r="N318" s="24"/>
      <c r="O318" s="24"/>
      <c r="P318" s="24"/>
      <c r="Q318" s="24"/>
      <c r="R318" s="24"/>
      <c r="S318" s="24"/>
      <c r="T318" s="24"/>
    </row>
    <row r="319" spans="1:20">
      <c r="A319" s="22"/>
      <c r="B319" s="22"/>
      <c r="C319" s="24"/>
      <c r="D319" s="24"/>
      <c r="E319" s="24"/>
      <c r="F319" s="24"/>
      <c r="G319" s="24"/>
      <c r="H319" s="24"/>
      <c r="I319" s="24"/>
      <c r="J319" s="24"/>
      <c r="K319" s="24"/>
      <c r="L319" s="73"/>
      <c r="M319" s="24"/>
      <c r="N319" s="24"/>
      <c r="O319" s="24"/>
      <c r="P319" s="24"/>
      <c r="Q319" s="24"/>
      <c r="R319" s="24"/>
      <c r="S319" s="24"/>
      <c r="T319" s="24"/>
    </row>
    <row r="320" spans="1:20">
      <c r="A320" s="22"/>
      <c r="B320" s="22"/>
      <c r="C320" s="24"/>
      <c r="D320" s="24"/>
      <c r="E320" s="24"/>
      <c r="F320" s="24"/>
      <c r="G320" s="24"/>
      <c r="H320" s="24"/>
      <c r="I320" s="24"/>
      <c r="J320" s="24"/>
      <c r="K320" s="24"/>
      <c r="L320" s="73"/>
      <c r="M320" s="24"/>
      <c r="N320" s="24"/>
      <c r="O320" s="24"/>
      <c r="P320" s="24"/>
      <c r="Q320" s="24"/>
      <c r="R320" s="24"/>
      <c r="S320" s="24"/>
      <c r="T320" s="24"/>
    </row>
    <row r="321" spans="1:20">
      <c r="A321" s="22"/>
      <c r="B321" s="22"/>
      <c r="C321" s="24"/>
      <c r="D321" s="24"/>
      <c r="E321" s="24"/>
      <c r="F321" s="24"/>
      <c r="G321" s="24"/>
      <c r="H321" s="24"/>
      <c r="I321" s="24"/>
      <c r="J321" s="24"/>
      <c r="K321" s="24"/>
      <c r="L321" s="73"/>
      <c r="M321" s="24"/>
      <c r="N321" s="24"/>
      <c r="O321" s="24"/>
      <c r="P321" s="24"/>
      <c r="Q321" s="24"/>
      <c r="R321" s="24"/>
      <c r="S321" s="24"/>
      <c r="T321" s="24"/>
    </row>
    <row r="322" spans="1:20">
      <c r="A322" s="22"/>
      <c r="B322" s="22"/>
      <c r="C322" s="24"/>
      <c r="D322" s="24"/>
      <c r="E322" s="24"/>
      <c r="F322" s="24"/>
      <c r="G322" s="24"/>
      <c r="H322" s="24"/>
      <c r="I322" s="24"/>
      <c r="J322" s="24"/>
      <c r="K322" s="24"/>
      <c r="L322" s="73"/>
      <c r="M322" s="24"/>
      <c r="N322" s="24"/>
      <c r="O322" s="24"/>
      <c r="P322" s="24"/>
      <c r="Q322" s="24"/>
      <c r="R322" s="24"/>
      <c r="S322" s="24"/>
      <c r="T322" s="24"/>
    </row>
    <row r="323" spans="1:20">
      <c r="A323" s="22"/>
      <c r="B323" s="22"/>
      <c r="C323" s="24"/>
      <c r="D323" s="24"/>
      <c r="E323" s="24"/>
      <c r="F323" s="24"/>
      <c r="G323" s="24"/>
      <c r="H323" s="24"/>
      <c r="I323" s="24"/>
      <c r="J323" s="24"/>
      <c r="K323" s="24"/>
      <c r="L323" s="73"/>
      <c r="M323" s="24"/>
      <c r="N323" s="24"/>
      <c r="O323" s="24"/>
      <c r="P323" s="24"/>
      <c r="Q323" s="24"/>
      <c r="R323" s="24"/>
      <c r="S323" s="24"/>
      <c r="T323" s="24"/>
    </row>
    <row r="324" spans="1:20">
      <c r="A324" s="22"/>
      <c r="B324" s="22"/>
      <c r="C324" s="24"/>
      <c r="D324" s="24"/>
      <c r="E324" s="24"/>
      <c r="F324" s="24"/>
      <c r="G324" s="24"/>
      <c r="H324" s="24"/>
      <c r="I324" s="24"/>
      <c r="J324" s="24"/>
      <c r="K324" s="24"/>
      <c r="L324" s="73"/>
      <c r="M324" s="24"/>
      <c r="N324" s="24"/>
      <c r="O324" s="24"/>
      <c r="P324" s="24"/>
      <c r="Q324" s="24"/>
      <c r="R324" s="24"/>
      <c r="S324" s="24"/>
      <c r="T324" s="24"/>
    </row>
    <row r="325" spans="1:20">
      <c r="A325" s="22"/>
      <c r="B325" s="22"/>
      <c r="C325" s="24"/>
      <c r="D325" s="24"/>
      <c r="E325" s="24"/>
      <c r="F325" s="24"/>
      <c r="G325" s="24"/>
      <c r="H325" s="24"/>
      <c r="I325" s="24"/>
      <c r="J325" s="24"/>
      <c r="K325" s="24"/>
      <c r="L325" s="73"/>
      <c r="M325" s="24"/>
      <c r="N325" s="24"/>
      <c r="O325" s="24"/>
      <c r="P325" s="24"/>
      <c r="Q325" s="24"/>
      <c r="R325" s="24"/>
      <c r="S325" s="24"/>
      <c r="T325" s="24"/>
    </row>
    <row r="326" spans="1:20">
      <c r="A326" s="22"/>
      <c r="B326" s="22"/>
      <c r="C326" s="24"/>
      <c r="D326" s="24"/>
      <c r="E326" s="24"/>
      <c r="F326" s="24"/>
      <c r="G326" s="24"/>
      <c r="H326" s="24"/>
      <c r="I326" s="24"/>
      <c r="J326" s="24"/>
      <c r="K326" s="24"/>
      <c r="L326" s="73"/>
      <c r="M326" s="24"/>
      <c r="N326" s="24"/>
      <c r="O326" s="24"/>
      <c r="P326" s="24"/>
      <c r="Q326" s="24"/>
      <c r="R326" s="24"/>
      <c r="S326" s="24"/>
      <c r="T326" s="24"/>
    </row>
    <row r="327" spans="1:20">
      <c r="A327" s="22"/>
      <c r="B327" s="22"/>
      <c r="C327" s="24"/>
      <c r="D327" s="24"/>
      <c r="E327" s="24"/>
      <c r="F327" s="24"/>
      <c r="G327" s="24"/>
      <c r="H327" s="24"/>
      <c r="I327" s="24"/>
      <c r="J327" s="24"/>
      <c r="K327" s="24"/>
      <c r="L327" s="73"/>
      <c r="M327" s="24"/>
      <c r="N327" s="24"/>
      <c r="O327" s="24"/>
      <c r="P327" s="24"/>
      <c r="Q327" s="24"/>
      <c r="R327" s="24"/>
      <c r="S327" s="24"/>
      <c r="T327" s="24"/>
    </row>
    <row r="328" spans="1:20">
      <c r="A328" s="22"/>
      <c r="B328" s="22"/>
      <c r="C328" s="24"/>
      <c r="D328" s="24"/>
      <c r="E328" s="24"/>
      <c r="F328" s="24"/>
      <c r="G328" s="24"/>
      <c r="H328" s="24"/>
      <c r="I328" s="24"/>
      <c r="J328" s="24"/>
      <c r="K328" s="24"/>
      <c r="L328" s="73"/>
      <c r="M328" s="24"/>
      <c r="N328" s="24"/>
      <c r="O328" s="24"/>
      <c r="P328" s="24"/>
      <c r="Q328" s="24"/>
      <c r="R328" s="24"/>
      <c r="S328" s="24"/>
      <c r="T328" s="24"/>
    </row>
    <row r="329" spans="1:20">
      <c r="A329" s="22"/>
      <c r="B329" s="22"/>
      <c r="C329" s="24"/>
      <c r="D329" s="24"/>
      <c r="E329" s="24"/>
      <c r="F329" s="24"/>
      <c r="G329" s="24"/>
      <c r="H329" s="24"/>
      <c r="I329" s="24"/>
      <c r="J329" s="24"/>
      <c r="K329" s="24"/>
      <c r="L329" s="73"/>
      <c r="M329" s="24"/>
      <c r="N329" s="24"/>
      <c r="O329" s="24"/>
      <c r="P329" s="24"/>
      <c r="Q329" s="24"/>
      <c r="R329" s="24"/>
      <c r="S329" s="24"/>
      <c r="T329" s="24"/>
    </row>
    <row r="330" spans="1:20">
      <c r="A330" s="22"/>
      <c r="B330" s="22"/>
      <c r="C330" s="24"/>
      <c r="D330" s="24"/>
      <c r="E330" s="24"/>
      <c r="F330" s="24"/>
      <c r="G330" s="24"/>
      <c r="H330" s="24"/>
      <c r="I330" s="24"/>
      <c r="J330" s="24"/>
      <c r="K330" s="24"/>
      <c r="L330" s="73"/>
      <c r="M330" s="24"/>
      <c r="N330" s="24"/>
      <c r="O330" s="24"/>
      <c r="P330" s="24"/>
      <c r="Q330" s="24"/>
      <c r="R330" s="24"/>
      <c r="S330" s="24"/>
      <c r="T330" s="24"/>
    </row>
    <row r="331" spans="1:20">
      <c r="A331" s="22"/>
      <c r="B331" s="22"/>
      <c r="C331" s="24"/>
      <c r="D331" s="24"/>
      <c r="E331" s="24"/>
      <c r="F331" s="24"/>
      <c r="G331" s="24"/>
      <c r="H331" s="24"/>
      <c r="I331" s="24"/>
      <c r="J331" s="24"/>
      <c r="K331" s="24"/>
      <c r="L331" s="73"/>
      <c r="M331" s="24"/>
      <c r="N331" s="24"/>
      <c r="O331" s="24"/>
      <c r="P331" s="24"/>
      <c r="Q331" s="24"/>
      <c r="R331" s="24"/>
      <c r="S331" s="24"/>
      <c r="T331" s="24"/>
    </row>
    <row r="332" spans="1:20">
      <c r="A332" s="22"/>
      <c r="B332" s="22"/>
      <c r="C332" s="24"/>
      <c r="D332" s="24"/>
      <c r="E332" s="24"/>
      <c r="F332" s="24"/>
      <c r="G332" s="24"/>
      <c r="H332" s="24"/>
      <c r="I332" s="24"/>
      <c r="J332" s="24"/>
      <c r="K332" s="24"/>
      <c r="L332" s="73"/>
      <c r="M332" s="24"/>
      <c r="N332" s="24"/>
      <c r="O332" s="24"/>
      <c r="P332" s="24"/>
      <c r="Q332" s="24"/>
      <c r="R332" s="24"/>
      <c r="S332" s="24"/>
      <c r="T332" s="24"/>
    </row>
    <row r="333" spans="1:20">
      <c r="A333" s="22"/>
      <c r="B333" s="22"/>
      <c r="C333" s="24"/>
      <c r="D333" s="24"/>
      <c r="E333" s="24"/>
      <c r="F333" s="24"/>
      <c r="G333" s="24"/>
      <c r="H333" s="24"/>
      <c r="I333" s="24"/>
      <c r="J333" s="24"/>
      <c r="K333" s="24"/>
      <c r="L333" s="73"/>
      <c r="M333" s="24"/>
      <c r="N333" s="24"/>
      <c r="O333" s="24"/>
      <c r="P333" s="24"/>
      <c r="Q333" s="24"/>
      <c r="R333" s="24"/>
      <c r="S333" s="24"/>
      <c r="T333" s="24"/>
    </row>
    <row r="334" spans="1:20">
      <c r="A334" s="22"/>
      <c r="B334" s="22"/>
      <c r="C334" s="24"/>
      <c r="D334" s="24"/>
      <c r="E334" s="24"/>
      <c r="F334" s="24"/>
      <c r="G334" s="24"/>
      <c r="H334" s="24"/>
      <c r="I334" s="24"/>
      <c r="J334" s="24"/>
      <c r="K334" s="24"/>
      <c r="L334" s="73"/>
      <c r="M334" s="24"/>
      <c r="N334" s="24"/>
      <c r="O334" s="24"/>
      <c r="P334" s="24"/>
      <c r="Q334" s="24"/>
      <c r="R334" s="24"/>
      <c r="S334" s="24"/>
      <c r="T334" s="24"/>
    </row>
    <row r="335" spans="1:20">
      <c r="A335" s="22"/>
      <c r="B335" s="22"/>
      <c r="C335" s="24"/>
      <c r="D335" s="24"/>
      <c r="E335" s="24"/>
      <c r="F335" s="24"/>
      <c r="G335" s="24"/>
      <c r="H335" s="24"/>
      <c r="I335" s="24"/>
      <c r="J335" s="24"/>
      <c r="K335" s="24"/>
      <c r="L335" s="73"/>
      <c r="M335" s="24"/>
      <c r="N335" s="24"/>
      <c r="O335" s="24"/>
      <c r="P335" s="24"/>
      <c r="Q335" s="24"/>
      <c r="R335" s="24"/>
      <c r="S335" s="24"/>
      <c r="T335" s="24"/>
    </row>
    <row r="336" spans="1:20">
      <c r="A336" s="22"/>
      <c r="B336" s="22"/>
      <c r="C336" s="24"/>
      <c r="D336" s="24"/>
      <c r="E336" s="24"/>
      <c r="F336" s="24"/>
      <c r="G336" s="24"/>
      <c r="H336" s="24"/>
      <c r="I336" s="24"/>
      <c r="J336" s="24"/>
      <c r="K336" s="24"/>
      <c r="L336" s="73"/>
      <c r="M336" s="24"/>
      <c r="N336" s="24"/>
      <c r="O336" s="24"/>
      <c r="P336" s="24"/>
      <c r="Q336" s="24"/>
      <c r="R336" s="24"/>
      <c r="S336" s="24"/>
      <c r="T336" s="24"/>
    </row>
    <row r="337" spans="1:20">
      <c r="A337" s="22"/>
      <c r="B337" s="22"/>
      <c r="C337" s="24"/>
      <c r="D337" s="24"/>
      <c r="E337" s="24"/>
      <c r="F337" s="24"/>
      <c r="G337" s="24"/>
      <c r="H337" s="24"/>
      <c r="I337" s="24"/>
      <c r="J337" s="24"/>
      <c r="K337" s="24"/>
      <c r="L337" s="73"/>
      <c r="M337" s="24"/>
      <c r="N337" s="24"/>
      <c r="O337" s="24"/>
      <c r="P337" s="24"/>
      <c r="Q337" s="24"/>
      <c r="R337" s="24"/>
      <c r="S337" s="24"/>
      <c r="T337" s="24"/>
    </row>
    <row r="338" spans="1:20">
      <c r="A338" s="22"/>
      <c r="B338" s="22"/>
      <c r="C338" s="24"/>
      <c r="D338" s="24"/>
      <c r="E338" s="24"/>
      <c r="F338" s="24"/>
      <c r="G338" s="24"/>
      <c r="H338" s="24"/>
      <c r="I338" s="24"/>
      <c r="J338" s="24"/>
      <c r="K338" s="24"/>
      <c r="L338" s="73"/>
      <c r="M338" s="24"/>
      <c r="N338" s="24"/>
      <c r="O338" s="24"/>
      <c r="P338" s="24"/>
      <c r="Q338" s="24"/>
      <c r="R338" s="24"/>
      <c r="S338" s="24"/>
      <c r="T338" s="24"/>
    </row>
    <row r="339" spans="1:20">
      <c r="A339" s="22"/>
      <c r="B339" s="22"/>
      <c r="C339" s="24"/>
      <c r="D339" s="24"/>
      <c r="E339" s="24"/>
      <c r="F339" s="24"/>
      <c r="G339" s="24"/>
      <c r="H339" s="24"/>
      <c r="I339" s="24"/>
      <c r="J339" s="24"/>
      <c r="K339" s="24"/>
      <c r="L339" s="73"/>
      <c r="M339" s="24"/>
      <c r="N339" s="24"/>
      <c r="O339" s="24"/>
      <c r="P339" s="24"/>
      <c r="Q339" s="24"/>
      <c r="R339" s="24"/>
      <c r="S339" s="24"/>
      <c r="T339" s="24"/>
    </row>
    <row r="340" spans="1:20">
      <c r="A340" s="22"/>
      <c r="B340" s="22"/>
      <c r="C340" s="24"/>
      <c r="D340" s="24"/>
      <c r="E340" s="24"/>
      <c r="F340" s="24"/>
      <c r="G340" s="24"/>
      <c r="H340" s="24"/>
      <c r="I340" s="24"/>
      <c r="J340" s="24"/>
      <c r="K340" s="24"/>
      <c r="L340" s="73"/>
      <c r="M340" s="24"/>
      <c r="N340" s="24"/>
      <c r="O340" s="24"/>
      <c r="P340" s="24"/>
      <c r="Q340" s="24"/>
      <c r="R340" s="24"/>
      <c r="S340" s="24"/>
      <c r="T340" s="24"/>
    </row>
    <row r="341" spans="1:20">
      <c r="A341" s="22"/>
      <c r="B341" s="22"/>
      <c r="C341" s="24"/>
      <c r="D341" s="24"/>
      <c r="E341" s="24"/>
      <c r="F341" s="24"/>
      <c r="G341" s="24"/>
      <c r="H341" s="24"/>
      <c r="I341" s="24"/>
      <c r="J341" s="24"/>
      <c r="K341" s="24"/>
      <c r="L341" s="73"/>
      <c r="M341" s="24"/>
      <c r="N341" s="24"/>
      <c r="O341" s="24"/>
      <c r="P341" s="24"/>
      <c r="Q341" s="24"/>
      <c r="R341" s="24"/>
      <c r="S341" s="24"/>
      <c r="T341" s="24"/>
    </row>
    <row r="342" spans="1:20">
      <c r="A342" s="22"/>
      <c r="B342" s="22"/>
      <c r="C342" s="24"/>
      <c r="D342" s="24"/>
      <c r="E342" s="24"/>
      <c r="F342" s="24"/>
      <c r="G342" s="24"/>
      <c r="H342" s="24"/>
      <c r="I342" s="24"/>
      <c r="J342" s="24"/>
      <c r="K342" s="24"/>
      <c r="L342" s="73"/>
      <c r="M342" s="24"/>
      <c r="N342" s="24"/>
      <c r="O342" s="24"/>
      <c r="P342" s="24"/>
      <c r="Q342" s="24"/>
      <c r="R342" s="24"/>
      <c r="S342" s="24"/>
      <c r="T342" s="24"/>
    </row>
    <row r="343" spans="1:20">
      <c r="A343" s="22"/>
      <c r="B343" s="22"/>
      <c r="C343" s="24"/>
      <c r="D343" s="24"/>
      <c r="E343" s="24"/>
      <c r="F343" s="24"/>
      <c r="G343" s="24"/>
      <c r="H343" s="24"/>
      <c r="I343" s="24"/>
      <c r="J343" s="24"/>
      <c r="K343" s="24"/>
      <c r="L343" s="73"/>
      <c r="M343" s="24"/>
      <c r="N343" s="24"/>
      <c r="O343" s="24"/>
      <c r="P343" s="24"/>
      <c r="Q343" s="24"/>
      <c r="R343" s="24"/>
      <c r="S343" s="24"/>
      <c r="T343" s="24"/>
    </row>
    <row r="344" spans="1:20">
      <c r="A344" s="22"/>
      <c r="B344" s="22"/>
      <c r="C344" s="24"/>
      <c r="D344" s="24"/>
      <c r="E344" s="24"/>
      <c r="F344" s="24"/>
      <c r="G344" s="24"/>
      <c r="H344" s="24"/>
      <c r="I344" s="24"/>
      <c r="J344" s="24"/>
      <c r="K344" s="24"/>
      <c r="L344" s="73"/>
      <c r="M344" s="24"/>
      <c r="N344" s="24"/>
      <c r="O344" s="24"/>
      <c r="P344" s="24"/>
      <c r="Q344" s="24"/>
      <c r="R344" s="24"/>
      <c r="S344" s="24"/>
      <c r="T344" s="24"/>
    </row>
    <row r="345" spans="1:20">
      <c r="A345" s="22"/>
      <c r="B345" s="22"/>
      <c r="C345" s="24"/>
      <c r="D345" s="24"/>
      <c r="E345" s="24"/>
      <c r="F345" s="24"/>
      <c r="G345" s="24"/>
      <c r="H345" s="24"/>
      <c r="I345" s="24"/>
      <c r="J345" s="24"/>
      <c r="K345" s="24"/>
      <c r="L345" s="73"/>
      <c r="M345" s="24"/>
      <c r="N345" s="24"/>
      <c r="O345" s="24"/>
      <c r="P345" s="24"/>
      <c r="Q345" s="24"/>
      <c r="R345" s="24"/>
      <c r="S345" s="24"/>
      <c r="T345" s="24"/>
    </row>
    <row r="346" spans="1:20">
      <c r="A346" s="22"/>
      <c r="B346" s="22"/>
      <c r="C346" s="24"/>
      <c r="D346" s="24"/>
      <c r="E346" s="24"/>
      <c r="F346" s="24"/>
      <c r="G346" s="24"/>
      <c r="H346" s="24"/>
      <c r="I346" s="24"/>
      <c r="J346" s="24"/>
      <c r="K346" s="24"/>
      <c r="L346" s="73"/>
      <c r="M346" s="24"/>
      <c r="N346" s="24"/>
      <c r="O346" s="24"/>
      <c r="P346" s="24"/>
      <c r="Q346" s="24"/>
      <c r="R346" s="24"/>
      <c r="S346" s="24"/>
      <c r="T346" s="24"/>
    </row>
    <row r="347" spans="1:20">
      <c r="A347" s="22"/>
      <c r="B347" s="22"/>
      <c r="C347" s="24"/>
      <c r="D347" s="24"/>
      <c r="E347" s="24"/>
      <c r="F347" s="24"/>
      <c r="G347" s="24"/>
      <c r="H347" s="24"/>
      <c r="I347" s="24"/>
      <c r="J347" s="24"/>
      <c r="K347" s="24"/>
      <c r="L347" s="73"/>
      <c r="M347" s="24"/>
      <c r="N347" s="24"/>
      <c r="O347" s="24"/>
      <c r="P347" s="24"/>
      <c r="Q347" s="24"/>
      <c r="R347" s="24"/>
      <c r="S347" s="24"/>
      <c r="T347" s="24"/>
    </row>
    <row r="348" spans="1:20">
      <c r="A348" s="22"/>
      <c r="B348" s="22"/>
      <c r="C348" s="24"/>
      <c r="D348" s="24"/>
      <c r="E348" s="24"/>
      <c r="F348" s="24"/>
      <c r="G348" s="24"/>
      <c r="H348" s="24"/>
      <c r="I348" s="24"/>
      <c r="J348" s="24"/>
      <c r="K348" s="24"/>
      <c r="L348" s="73"/>
      <c r="M348" s="24"/>
      <c r="N348" s="24"/>
      <c r="O348" s="24"/>
      <c r="P348" s="24"/>
      <c r="Q348" s="24"/>
      <c r="R348" s="24"/>
      <c r="S348" s="24"/>
      <c r="T348" s="24"/>
    </row>
    <row r="349" spans="1:20">
      <c r="A349" s="22"/>
      <c r="B349" s="22"/>
      <c r="C349" s="24"/>
      <c r="D349" s="24"/>
      <c r="E349" s="24"/>
      <c r="F349" s="24"/>
      <c r="G349" s="24"/>
      <c r="H349" s="24"/>
      <c r="I349" s="24"/>
      <c r="J349" s="24"/>
      <c r="K349" s="24"/>
      <c r="L349" s="73"/>
      <c r="M349" s="24"/>
      <c r="N349" s="24"/>
      <c r="O349" s="24"/>
      <c r="P349" s="24"/>
      <c r="Q349" s="24"/>
      <c r="R349" s="24"/>
      <c r="S349" s="24"/>
      <c r="T349" s="24"/>
    </row>
    <row r="350" spans="1:20">
      <c r="A350" s="22"/>
      <c r="B350" s="22"/>
      <c r="C350" s="24"/>
      <c r="D350" s="24"/>
      <c r="E350" s="24"/>
      <c r="F350" s="24"/>
      <c r="G350" s="24"/>
      <c r="H350" s="24"/>
      <c r="I350" s="24"/>
      <c r="J350" s="24"/>
      <c r="K350" s="24"/>
      <c r="L350" s="73"/>
      <c r="M350" s="24"/>
      <c r="N350" s="24"/>
      <c r="O350" s="24"/>
      <c r="P350" s="24"/>
      <c r="Q350" s="24"/>
      <c r="R350" s="24"/>
      <c r="S350" s="24"/>
      <c r="T350" s="24"/>
    </row>
    <row r="351" spans="1:20">
      <c r="A351" s="22"/>
      <c r="B351" s="22"/>
      <c r="C351" s="24"/>
      <c r="D351" s="24"/>
      <c r="E351" s="24"/>
      <c r="F351" s="24"/>
      <c r="G351" s="24"/>
      <c r="H351" s="24"/>
      <c r="I351" s="24"/>
      <c r="J351" s="24"/>
      <c r="K351" s="24"/>
      <c r="L351" s="73"/>
      <c r="M351" s="24"/>
      <c r="N351" s="24"/>
      <c r="O351" s="24"/>
      <c r="P351" s="24"/>
      <c r="Q351" s="24"/>
      <c r="R351" s="24"/>
      <c r="S351" s="24"/>
      <c r="T351" s="24"/>
    </row>
    <row r="352" spans="1:20">
      <c r="A352" s="22"/>
      <c r="B352" s="22"/>
      <c r="C352" s="24"/>
      <c r="D352" s="24"/>
      <c r="E352" s="24"/>
      <c r="F352" s="24"/>
      <c r="G352" s="24"/>
      <c r="H352" s="24"/>
      <c r="I352" s="24"/>
      <c r="J352" s="24"/>
      <c r="K352" s="24"/>
      <c r="L352" s="73"/>
      <c r="M352" s="24"/>
      <c r="N352" s="24"/>
      <c r="O352" s="24"/>
      <c r="P352" s="24"/>
      <c r="Q352" s="24"/>
      <c r="R352" s="24"/>
      <c r="S352" s="24"/>
      <c r="T352" s="24"/>
    </row>
    <row r="353" spans="1:20">
      <c r="A353" s="22"/>
      <c r="B353" s="22"/>
      <c r="C353" s="24"/>
      <c r="D353" s="24"/>
      <c r="E353" s="24"/>
      <c r="F353" s="24"/>
      <c r="G353" s="24"/>
      <c r="H353" s="24"/>
      <c r="I353" s="24"/>
      <c r="J353" s="24"/>
      <c r="K353" s="24"/>
      <c r="L353" s="73"/>
      <c r="M353" s="24"/>
      <c r="N353" s="24"/>
      <c r="O353" s="24"/>
      <c r="P353" s="24"/>
      <c r="Q353" s="24"/>
      <c r="R353" s="24"/>
      <c r="S353" s="24"/>
      <c r="T353" s="24"/>
    </row>
    <row r="354" spans="1:20">
      <c r="A354" s="22"/>
      <c r="B354" s="22"/>
      <c r="C354" s="24"/>
      <c r="D354" s="24"/>
      <c r="E354" s="24"/>
      <c r="F354" s="24"/>
      <c r="G354" s="24"/>
      <c r="H354" s="24"/>
      <c r="I354" s="24"/>
      <c r="J354" s="24"/>
      <c r="K354" s="24"/>
      <c r="L354" s="73"/>
      <c r="M354" s="24"/>
      <c r="N354" s="24"/>
      <c r="O354" s="24"/>
      <c r="P354" s="24"/>
      <c r="Q354" s="24"/>
      <c r="R354" s="24"/>
      <c r="S354" s="24"/>
      <c r="T354" s="24"/>
    </row>
    <row r="355" spans="1:20">
      <c r="A355" s="22"/>
      <c r="B355" s="22"/>
      <c r="C355" s="24"/>
      <c r="D355" s="24"/>
      <c r="E355" s="24"/>
      <c r="F355" s="24"/>
      <c r="G355" s="24"/>
      <c r="H355" s="24"/>
      <c r="I355" s="24"/>
      <c r="J355" s="24"/>
      <c r="K355" s="24"/>
      <c r="L355" s="73"/>
      <c r="M355" s="24"/>
      <c r="N355" s="24"/>
      <c r="O355" s="24"/>
      <c r="P355" s="24"/>
      <c r="Q355" s="24"/>
      <c r="R355" s="24"/>
      <c r="S355" s="24"/>
      <c r="T355" s="24"/>
    </row>
    <row r="356" spans="1:20">
      <c r="A356" s="22"/>
      <c r="B356" s="22"/>
      <c r="C356" s="24"/>
      <c r="D356" s="24"/>
      <c r="E356" s="24"/>
      <c r="F356" s="24"/>
      <c r="G356" s="24"/>
      <c r="H356" s="24"/>
      <c r="I356" s="24"/>
      <c r="J356" s="24"/>
      <c r="K356" s="24"/>
      <c r="L356" s="73"/>
      <c r="M356" s="24"/>
      <c r="N356" s="24"/>
      <c r="O356" s="24"/>
      <c r="P356" s="24"/>
      <c r="Q356" s="24"/>
      <c r="R356" s="24"/>
      <c r="S356" s="24"/>
      <c r="T356" s="24"/>
    </row>
    <row r="357" spans="1:20">
      <c r="A357" s="22"/>
      <c r="B357" s="22"/>
      <c r="C357" s="24"/>
      <c r="D357" s="24"/>
      <c r="E357" s="24"/>
      <c r="F357" s="24"/>
      <c r="G357" s="24"/>
      <c r="H357" s="24"/>
      <c r="I357" s="24"/>
      <c r="J357" s="24"/>
      <c r="K357" s="24"/>
      <c r="L357" s="73"/>
      <c r="M357" s="24"/>
      <c r="N357" s="24"/>
      <c r="O357" s="24"/>
      <c r="P357" s="24"/>
      <c r="Q357" s="24"/>
      <c r="R357" s="24"/>
      <c r="S357" s="24"/>
      <c r="T357" s="24"/>
    </row>
    <row r="358" spans="1:20">
      <c r="A358" s="22"/>
      <c r="B358" s="22"/>
      <c r="C358" s="24"/>
      <c r="D358" s="24"/>
      <c r="E358" s="24"/>
      <c r="F358" s="24"/>
      <c r="G358" s="24"/>
      <c r="H358" s="24"/>
      <c r="I358" s="24"/>
      <c r="J358" s="24"/>
      <c r="K358" s="24"/>
      <c r="L358" s="73"/>
      <c r="M358" s="24"/>
      <c r="N358" s="24"/>
      <c r="O358" s="24"/>
      <c r="P358" s="24"/>
      <c r="Q358" s="24"/>
      <c r="R358" s="24"/>
      <c r="S358" s="24"/>
      <c r="T358" s="24"/>
    </row>
    <row r="359" spans="1:20">
      <c r="A359" s="22"/>
      <c r="B359" s="22"/>
      <c r="C359" s="24"/>
      <c r="D359" s="24"/>
      <c r="E359" s="24"/>
      <c r="F359" s="24"/>
      <c r="G359" s="24"/>
      <c r="H359" s="24"/>
      <c r="I359" s="24"/>
      <c r="J359" s="24"/>
      <c r="K359" s="24"/>
      <c r="L359" s="73"/>
      <c r="M359" s="24"/>
      <c r="N359" s="24"/>
      <c r="O359" s="24"/>
      <c r="P359" s="24"/>
      <c r="Q359" s="24"/>
      <c r="R359" s="24"/>
      <c r="S359" s="24"/>
      <c r="T359" s="24"/>
    </row>
    <row r="360" spans="1:20">
      <c r="A360" s="22"/>
      <c r="B360" s="22"/>
      <c r="C360" s="24"/>
      <c r="D360" s="24"/>
      <c r="E360" s="24"/>
      <c r="F360" s="24"/>
      <c r="G360" s="24"/>
      <c r="H360" s="24"/>
      <c r="I360" s="24"/>
      <c r="J360" s="24"/>
      <c r="K360" s="24"/>
      <c r="L360" s="73"/>
      <c r="M360" s="24"/>
      <c r="N360" s="24"/>
      <c r="O360" s="24"/>
      <c r="P360" s="24"/>
      <c r="Q360" s="24"/>
      <c r="R360" s="24"/>
      <c r="S360" s="24"/>
      <c r="T360" s="24"/>
    </row>
    <row r="361" spans="1:20">
      <c r="A361" s="22"/>
      <c r="B361" s="22"/>
      <c r="C361" s="24"/>
      <c r="D361" s="24"/>
      <c r="E361" s="24"/>
      <c r="F361" s="24"/>
      <c r="G361" s="24"/>
      <c r="H361" s="24"/>
      <c r="I361" s="24"/>
      <c r="J361" s="24"/>
      <c r="K361" s="24"/>
      <c r="L361" s="73"/>
      <c r="M361" s="24"/>
      <c r="N361" s="24"/>
      <c r="O361" s="24"/>
      <c r="P361" s="24"/>
      <c r="Q361" s="24"/>
      <c r="R361" s="24"/>
      <c r="S361" s="24"/>
      <c r="T361" s="24"/>
    </row>
    <row r="362" spans="1:20">
      <c r="A362" s="22"/>
      <c r="B362" s="22"/>
      <c r="C362" s="24"/>
      <c r="D362" s="24"/>
      <c r="E362" s="24"/>
      <c r="F362" s="24"/>
      <c r="G362" s="24"/>
      <c r="H362" s="24"/>
      <c r="I362" s="24"/>
      <c r="J362" s="24"/>
      <c r="K362" s="24"/>
      <c r="L362" s="73"/>
      <c r="M362" s="24"/>
      <c r="N362" s="24"/>
      <c r="O362" s="24"/>
      <c r="P362" s="24"/>
      <c r="Q362" s="24"/>
      <c r="R362" s="24"/>
      <c r="S362" s="24"/>
      <c r="T362" s="24"/>
    </row>
    <row r="363" spans="1:20">
      <c r="A363" s="22"/>
      <c r="B363" s="22"/>
      <c r="C363" s="24"/>
      <c r="D363" s="24"/>
      <c r="E363" s="24"/>
      <c r="F363" s="24"/>
      <c r="G363" s="24"/>
      <c r="H363" s="24"/>
      <c r="I363" s="24"/>
      <c r="J363" s="24"/>
      <c r="K363" s="24"/>
      <c r="L363" s="73"/>
      <c r="M363" s="24"/>
      <c r="N363" s="24"/>
      <c r="O363" s="24"/>
      <c r="P363" s="24"/>
      <c r="Q363" s="24"/>
      <c r="R363" s="24"/>
      <c r="S363" s="24"/>
      <c r="T363" s="24"/>
    </row>
    <row r="364" spans="1:20">
      <c r="A364" s="22"/>
      <c r="B364" s="22"/>
      <c r="C364" s="24"/>
      <c r="D364" s="24"/>
      <c r="E364" s="24"/>
      <c r="F364" s="24"/>
      <c r="G364" s="24"/>
      <c r="H364" s="24"/>
      <c r="I364" s="24"/>
      <c r="J364" s="24"/>
      <c r="K364" s="24"/>
      <c r="L364" s="73"/>
      <c r="M364" s="24"/>
      <c r="N364" s="24"/>
      <c r="O364" s="24"/>
      <c r="P364" s="24"/>
      <c r="Q364" s="24"/>
      <c r="R364" s="24"/>
      <c r="S364" s="24"/>
      <c r="T364" s="24"/>
    </row>
    <row r="365" spans="1:20">
      <c r="A365" s="22"/>
      <c r="B365" s="22"/>
      <c r="C365" s="24"/>
      <c r="D365" s="24"/>
      <c r="E365" s="24"/>
      <c r="F365" s="24"/>
      <c r="G365" s="24"/>
      <c r="H365" s="24"/>
      <c r="I365" s="24"/>
      <c r="J365" s="24"/>
      <c r="K365" s="24"/>
      <c r="L365" s="73"/>
      <c r="M365" s="24"/>
      <c r="N365" s="24"/>
      <c r="O365" s="24"/>
      <c r="P365" s="24"/>
      <c r="Q365" s="24"/>
      <c r="R365" s="24"/>
      <c r="S365" s="24"/>
      <c r="T365" s="24"/>
    </row>
    <row r="366" spans="1:20">
      <c r="A366" s="22"/>
      <c r="B366" s="22"/>
      <c r="C366" s="24"/>
      <c r="D366" s="24"/>
      <c r="E366" s="24"/>
      <c r="F366" s="24"/>
      <c r="G366" s="24"/>
      <c r="H366" s="24"/>
      <c r="I366" s="24"/>
      <c r="J366" s="24"/>
      <c r="K366" s="24"/>
      <c r="L366" s="73"/>
      <c r="M366" s="24"/>
      <c r="N366" s="24"/>
      <c r="O366" s="24"/>
      <c r="P366" s="24"/>
      <c r="Q366" s="24"/>
      <c r="R366" s="24"/>
      <c r="S366" s="24"/>
      <c r="T366" s="24"/>
    </row>
    <row r="367" spans="1:20">
      <c r="A367" s="22"/>
      <c r="B367" s="22"/>
      <c r="C367" s="24"/>
      <c r="D367" s="24"/>
      <c r="E367" s="24"/>
      <c r="F367" s="24"/>
      <c r="G367" s="24"/>
      <c r="H367" s="24"/>
      <c r="I367" s="24"/>
      <c r="J367" s="24"/>
      <c r="K367" s="24"/>
      <c r="L367" s="73"/>
      <c r="M367" s="24"/>
      <c r="N367" s="24"/>
      <c r="O367" s="24"/>
      <c r="P367" s="24"/>
      <c r="Q367" s="24"/>
      <c r="R367" s="24"/>
      <c r="S367" s="24"/>
      <c r="T367" s="24"/>
    </row>
    <row r="368" spans="1:20">
      <c r="A368" s="22"/>
      <c r="B368" s="22"/>
      <c r="C368" s="24"/>
      <c r="D368" s="24"/>
      <c r="E368" s="24"/>
      <c r="F368" s="24"/>
      <c r="G368" s="24"/>
      <c r="H368" s="24"/>
      <c r="I368" s="24"/>
      <c r="J368" s="24"/>
      <c r="K368" s="24"/>
      <c r="L368" s="73"/>
      <c r="M368" s="24"/>
      <c r="N368" s="24"/>
      <c r="O368" s="24"/>
      <c r="P368" s="24"/>
      <c r="Q368" s="24"/>
      <c r="R368" s="24"/>
      <c r="S368" s="24"/>
      <c r="T368" s="24"/>
    </row>
    <row r="369" spans="1:20">
      <c r="A369" s="22"/>
      <c r="B369" s="22"/>
      <c r="C369" s="24"/>
      <c r="D369" s="24"/>
      <c r="E369" s="24"/>
      <c r="F369" s="24"/>
      <c r="G369" s="24"/>
      <c r="H369" s="24"/>
      <c r="I369" s="24"/>
      <c r="J369" s="24"/>
      <c r="K369" s="24"/>
      <c r="L369" s="73"/>
      <c r="M369" s="24"/>
      <c r="N369" s="24"/>
      <c r="O369" s="24"/>
      <c r="P369" s="24"/>
      <c r="Q369" s="24"/>
      <c r="R369" s="24"/>
      <c r="S369" s="24"/>
      <c r="T369" s="24"/>
    </row>
    <row r="370" spans="1:20">
      <c r="A370" s="22"/>
      <c r="B370" s="22"/>
      <c r="C370" s="24"/>
      <c r="D370" s="24"/>
      <c r="E370" s="24"/>
      <c r="F370" s="24"/>
      <c r="G370" s="24"/>
      <c r="H370" s="24"/>
      <c r="I370" s="24"/>
      <c r="J370" s="24"/>
      <c r="K370" s="24"/>
      <c r="L370" s="73"/>
      <c r="M370" s="24"/>
      <c r="N370" s="24"/>
      <c r="O370" s="24"/>
      <c r="P370" s="24"/>
      <c r="Q370" s="24"/>
      <c r="R370" s="24"/>
      <c r="S370" s="24"/>
      <c r="T370" s="24"/>
    </row>
    <row r="371" spans="1:20">
      <c r="A371" s="22"/>
      <c r="B371" s="22"/>
      <c r="C371" s="24"/>
      <c r="D371" s="24"/>
      <c r="E371" s="24"/>
      <c r="F371" s="24"/>
      <c r="G371" s="24"/>
      <c r="H371" s="24"/>
      <c r="I371" s="24"/>
      <c r="J371" s="24"/>
      <c r="K371" s="24"/>
      <c r="L371" s="73"/>
      <c r="M371" s="24"/>
      <c r="N371" s="24"/>
      <c r="O371" s="24"/>
      <c r="P371" s="24"/>
      <c r="Q371" s="24"/>
      <c r="R371" s="24"/>
      <c r="S371" s="24"/>
      <c r="T371" s="24"/>
    </row>
    <row r="372" spans="1:20">
      <c r="A372" s="22"/>
      <c r="B372" s="22"/>
      <c r="C372" s="24"/>
      <c r="D372" s="24"/>
      <c r="E372" s="24"/>
      <c r="F372" s="24"/>
      <c r="G372" s="24"/>
      <c r="H372" s="24"/>
      <c r="I372" s="24"/>
      <c r="J372" s="24"/>
      <c r="K372" s="24"/>
      <c r="L372" s="73"/>
      <c r="M372" s="24"/>
      <c r="N372" s="24"/>
      <c r="O372" s="24"/>
      <c r="P372" s="24"/>
      <c r="Q372" s="24"/>
      <c r="R372" s="24"/>
      <c r="S372" s="24"/>
      <c r="T372" s="24"/>
    </row>
    <row r="373" spans="1:20">
      <c r="A373" s="22"/>
      <c r="B373" s="22"/>
      <c r="C373" s="24"/>
      <c r="D373" s="24"/>
      <c r="E373" s="24"/>
      <c r="F373" s="24"/>
      <c r="G373" s="24"/>
      <c r="H373" s="24"/>
      <c r="I373" s="24"/>
      <c r="J373" s="24"/>
      <c r="K373" s="24"/>
      <c r="L373" s="73"/>
      <c r="M373" s="24"/>
      <c r="N373" s="24"/>
      <c r="O373" s="24"/>
      <c r="P373" s="24"/>
      <c r="Q373" s="24"/>
      <c r="R373" s="24"/>
      <c r="S373" s="24"/>
      <c r="T373" s="24"/>
    </row>
    <row r="374" spans="1:20">
      <c r="A374" s="22"/>
      <c r="B374" s="22"/>
      <c r="C374" s="24"/>
      <c r="D374" s="24"/>
      <c r="E374" s="24"/>
      <c r="F374" s="24"/>
      <c r="G374" s="24"/>
      <c r="H374" s="24"/>
      <c r="I374" s="24"/>
      <c r="J374" s="24"/>
      <c r="K374" s="24"/>
      <c r="L374" s="73"/>
      <c r="M374" s="24"/>
      <c r="N374" s="24"/>
      <c r="O374" s="24"/>
      <c r="P374" s="24"/>
      <c r="Q374" s="24"/>
      <c r="R374" s="24"/>
      <c r="S374" s="24"/>
      <c r="T374" s="24"/>
    </row>
    <row r="375" spans="1:20">
      <c r="A375" s="22"/>
      <c r="B375" s="22"/>
      <c r="C375" s="24"/>
      <c r="D375" s="24"/>
      <c r="E375" s="24"/>
      <c r="F375" s="24"/>
      <c r="G375" s="24"/>
      <c r="H375" s="24"/>
      <c r="I375" s="24"/>
      <c r="J375" s="24"/>
      <c r="K375" s="24"/>
      <c r="L375" s="73"/>
      <c r="M375" s="24"/>
      <c r="N375" s="24"/>
      <c r="O375" s="24"/>
      <c r="P375" s="24"/>
      <c r="Q375" s="24"/>
      <c r="R375" s="24"/>
      <c r="S375" s="24"/>
      <c r="T375" s="24"/>
    </row>
    <row r="376" spans="1:20">
      <c r="A376" s="22"/>
      <c r="B376" s="22"/>
      <c r="C376" s="24"/>
      <c r="D376" s="24"/>
      <c r="E376" s="24"/>
      <c r="F376" s="24"/>
      <c r="G376" s="24"/>
      <c r="H376" s="24"/>
      <c r="I376" s="24"/>
      <c r="J376" s="24"/>
      <c r="K376" s="24"/>
      <c r="L376" s="73"/>
      <c r="M376" s="24"/>
      <c r="N376" s="24"/>
      <c r="O376" s="24"/>
      <c r="P376" s="24"/>
      <c r="Q376" s="24"/>
      <c r="R376" s="24"/>
      <c r="S376" s="24"/>
      <c r="T376" s="24"/>
    </row>
    <row r="377" spans="1:20">
      <c r="A377" s="22"/>
      <c r="B377" s="22"/>
      <c r="C377" s="24"/>
      <c r="D377" s="24"/>
      <c r="E377" s="24"/>
      <c r="F377" s="24"/>
      <c r="G377" s="24"/>
      <c r="H377" s="24"/>
      <c r="I377" s="24"/>
      <c r="J377" s="24"/>
      <c r="K377" s="24"/>
      <c r="L377" s="73"/>
      <c r="M377" s="24"/>
      <c r="N377" s="24"/>
      <c r="O377" s="24"/>
      <c r="P377" s="24"/>
      <c r="Q377" s="24"/>
      <c r="R377" s="24"/>
      <c r="S377" s="24"/>
      <c r="T377" s="24"/>
    </row>
    <row r="378" spans="1:20">
      <c r="A378" s="22"/>
      <c r="B378" s="22"/>
      <c r="C378" s="24"/>
      <c r="D378" s="24"/>
      <c r="E378" s="24"/>
      <c r="F378" s="24"/>
      <c r="G378" s="24"/>
      <c r="H378" s="24"/>
      <c r="I378" s="24"/>
      <c r="J378" s="24"/>
      <c r="K378" s="24"/>
      <c r="L378" s="73"/>
      <c r="M378" s="24"/>
      <c r="N378" s="24"/>
      <c r="O378" s="24"/>
      <c r="P378" s="24"/>
      <c r="Q378" s="24"/>
      <c r="R378" s="24"/>
      <c r="S378" s="24"/>
      <c r="T378" s="24"/>
    </row>
    <row r="379" spans="1:20">
      <c r="A379" s="22"/>
      <c r="B379" s="22"/>
      <c r="C379" s="24"/>
      <c r="D379" s="24"/>
      <c r="E379" s="24"/>
      <c r="F379" s="24"/>
      <c r="G379" s="24"/>
      <c r="H379" s="24"/>
      <c r="I379" s="24"/>
      <c r="J379" s="24"/>
      <c r="K379" s="24"/>
      <c r="L379" s="73"/>
      <c r="M379" s="24"/>
      <c r="N379" s="24"/>
      <c r="O379" s="24"/>
      <c r="P379" s="24"/>
      <c r="Q379" s="24"/>
      <c r="R379" s="24"/>
      <c r="S379" s="24"/>
      <c r="T379" s="24"/>
    </row>
    <row r="380" spans="1:20">
      <c r="A380" s="22"/>
      <c r="B380" s="22"/>
      <c r="C380" s="24"/>
      <c r="D380" s="24"/>
      <c r="E380" s="24"/>
      <c r="F380" s="24"/>
      <c r="G380" s="24"/>
      <c r="H380" s="24"/>
      <c r="I380" s="24"/>
      <c r="J380" s="24"/>
      <c r="K380" s="24"/>
      <c r="L380" s="73"/>
      <c r="M380" s="24"/>
      <c r="N380" s="24"/>
      <c r="O380" s="24"/>
      <c r="P380" s="24"/>
      <c r="Q380" s="24"/>
      <c r="R380" s="24"/>
      <c r="S380" s="24"/>
      <c r="T380" s="24"/>
    </row>
    <row r="381" spans="1:20">
      <c r="A381" s="22"/>
      <c r="B381" s="22"/>
      <c r="C381" s="24"/>
      <c r="D381" s="24"/>
      <c r="E381" s="24"/>
      <c r="F381" s="24"/>
      <c r="G381" s="24"/>
      <c r="H381" s="24"/>
      <c r="I381" s="24"/>
      <c r="J381" s="24"/>
      <c r="K381" s="24"/>
      <c r="L381" s="73"/>
      <c r="M381" s="24"/>
      <c r="N381" s="24"/>
      <c r="O381" s="24"/>
      <c r="P381" s="24"/>
      <c r="Q381" s="24"/>
      <c r="R381" s="24"/>
      <c r="S381" s="24"/>
      <c r="T381" s="24"/>
    </row>
    <row r="382" spans="1:20">
      <c r="A382" s="22"/>
      <c r="B382" s="22"/>
      <c r="C382" s="24"/>
      <c r="D382" s="24"/>
      <c r="E382" s="24"/>
      <c r="F382" s="24"/>
      <c r="G382" s="24"/>
      <c r="H382" s="24"/>
      <c r="I382" s="24"/>
      <c r="J382" s="24"/>
      <c r="K382" s="24"/>
      <c r="L382" s="73"/>
      <c r="M382" s="24"/>
      <c r="N382" s="24"/>
      <c r="O382" s="24"/>
      <c r="P382" s="24"/>
      <c r="Q382" s="24"/>
      <c r="R382" s="24"/>
      <c r="S382" s="24"/>
      <c r="T382" s="24"/>
    </row>
    <row r="383" spans="1:20">
      <c r="A383" s="22"/>
      <c r="B383" s="22"/>
      <c r="C383" s="24"/>
      <c r="D383" s="24"/>
      <c r="E383" s="24"/>
      <c r="F383" s="24"/>
      <c r="G383" s="24"/>
      <c r="H383" s="24"/>
      <c r="I383" s="24"/>
      <c r="J383" s="24"/>
      <c r="K383" s="24"/>
      <c r="L383" s="73"/>
      <c r="M383" s="24"/>
      <c r="N383" s="24"/>
      <c r="O383" s="24"/>
      <c r="P383" s="24"/>
      <c r="Q383" s="24"/>
      <c r="R383" s="24"/>
      <c r="S383" s="24"/>
      <c r="T383" s="24"/>
    </row>
    <row r="384" spans="1:20">
      <c r="A384" s="22"/>
      <c r="B384" s="22"/>
      <c r="C384" s="24"/>
      <c r="D384" s="24"/>
      <c r="E384" s="24"/>
      <c r="F384" s="24"/>
      <c r="G384" s="24"/>
      <c r="H384" s="24"/>
      <c r="I384" s="24"/>
      <c r="J384" s="24"/>
      <c r="K384" s="24"/>
      <c r="L384" s="73"/>
      <c r="M384" s="24"/>
      <c r="N384" s="24"/>
      <c r="O384" s="24"/>
      <c r="P384" s="24"/>
      <c r="Q384" s="24"/>
      <c r="R384" s="24"/>
      <c r="S384" s="24"/>
      <c r="T384" s="24"/>
    </row>
    <row r="385" spans="1:20">
      <c r="A385" s="22"/>
      <c r="B385" s="22"/>
      <c r="C385" s="24"/>
      <c r="D385" s="24"/>
      <c r="E385" s="24"/>
      <c r="F385" s="24"/>
      <c r="G385" s="24"/>
      <c r="H385" s="24"/>
      <c r="I385" s="24"/>
      <c r="J385" s="24"/>
      <c r="K385" s="24"/>
      <c r="L385" s="73"/>
      <c r="M385" s="24"/>
      <c r="N385" s="24"/>
      <c r="O385" s="24"/>
      <c r="P385" s="24"/>
      <c r="Q385" s="24"/>
      <c r="R385" s="24"/>
      <c r="S385" s="24"/>
      <c r="T385" s="24"/>
    </row>
    <row r="386" spans="1:20">
      <c r="A386" s="22"/>
      <c r="B386" s="22"/>
      <c r="C386" s="24"/>
      <c r="D386" s="24"/>
      <c r="E386" s="24"/>
      <c r="F386" s="24"/>
      <c r="G386" s="24"/>
      <c r="H386" s="24"/>
      <c r="I386" s="24"/>
      <c r="J386" s="24"/>
      <c r="K386" s="24"/>
      <c r="L386" s="73"/>
      <c r="M386" s="24"/>
      <c r="N386" s="24"/>
      <c r="O386" s="24"/>
      <c r="P386" s="24"/>
      <c r="Q386" s="24"/>
      <c r="R386" s="24"/>
      <c r="S386" s="24"/>
      <c r="T386" s="24"/>
    </row>
    <row r="387" spans="1:20">
      <c r="A387" s="22"/>
      <c r="B387" s="22"/>
      <c r="C387" s="24"/>
      <c r="D387" s="24"/>
      <c r="E387" s="24"/>
      <c r="F387" s="24"/>
      <c r="G387" s="24"/>
      <c r="H387" s="24"/>
      <c r="I387" s="24"/>
      <c r="J387" s="24"/>
      <c r="K387" s="24"/>
      <c r="L387" s="73"/>
      <c r="M387" s="24"/>
      <c r="N387" s="24"/>
      <c r="O387" s="24"/>
      <c r="P387" s="24"/>
      <c r="Q387" s="24"/>
      <c r="R387" s="24"/>
      <c r="S387" s="24"/>
      <c r="T387" s="24"/>
    </row>
    <row r="388" spans="1:20">
      <c r="A388" s="22"/>
      <c r="B388" s="22"/>
      <c r="C388" s="24"/>
      <c r="D388" s="24"/>
      <c r="E388" s="24"/>
      <c r="F388" s="24"/>
      <c r="G388" s="24"/>
      <c r="H388" s="24"/>
      <c r="I388" s="24"/>
      <c r="J388" s="24"/>
      <c r="K388" s="24"/>
      <c r="L388" s="73"/>
      <c r="M388" s="24"/>
      <c r="N388" s="24"/>
      <c r="O388" s="24"/>
      <c r="P388" s="24"/>
      <c r="Q388" s="24"/>
      <c r="R388" s="24"/>
      <c r="S388" s="24"/>
      <c r="T388" s="24"/>
    </row>
    <row r="389" spans="1:20">
      <c r="A389" s="22"/>
      <c r="B389" s="22"/>
      <c r="C389" s="24"/>
      <c r="D389" s="24"/>
      <c r="E389" s="24"/>
      <c r="F389" s="24"/>
      <c r="G389" s="24"/>
      <c r="H389" s="24"/>
      <c r="I389" s="24"/>
      <c r="J389" s="24"/>
      <c r="K389" s="24"/>
      <c r="L389" s="73"/>
      <c r="M389" s="24"/>
      <c r="N389" s="24"/>
      <c r="O389" s="24"/>
      <c r="P389" s="24"/>
      <c r="Q389" s="24"/>
      <c r="R389" s="24"/>
      <c r="S389" s="24"/>
      <c r="T389" s="24"/>
    </row>
    <row r="390" spans="1:20">
      <c r="A390" s="22"/>
      <c r="B390" s="22"/>
      <c r="C390" s="24"/>
      <c r="D390" s="24"/>
      <c r="E390" s="24"/>
      <c r="F390" s="24"/>
      <c r="G390" s="24"/>
      <c r="H390" s="24"/>
      <c r="I390" s="24"/>
      <c r="J390" s="24"/>
      <c r="K390" s="24"/>
      <c r="L390" s="73"/>
      <c r="M390" s="24"/>
      <c r="N390" s="24"/>
      <c r="O390" s="24"/>
      <c r="P390" s="24"/>
      <c r="Q390" s="24"/>
      <c r="R390" s="24"/>
      <c r="S390" s="24"/>
      <c r="T390" s="24"/>
    </row>
    <row r="391" spans="1:20">
      <c r="A391" s="22"/>
      <c r="B391" s="22"/>
      <c r="C391" s="24"/>
      <c r="D391" s="24"/>
      <c r="E391" s="24"/>
      <c r="F391" s="24"/>
      <c r="G391" s="24"/>
      <c r="H391" s="24"/>
      <c r="I391" s="24"/>
      <c r="J391" s="24"/>
      <c r="K391" s="24"/>
      <c r="L391" s="73"/>
      <c r="M391" s="24"/>
      <c r="N391" s="24"/>
      <c r="O391" s="24"/>
      <c r="P391" s="24"/>
      <c r="Q391" s="24"/>
      <c r="R391" s="24"/>
      <c r="S391" s="24"/>
      <c r="T391" s="24"/>
    </row>
    <row r="392" spans="1:20">
      <c r="A392" s="22"/>
      <c r="B392" s="22"/>
      <c r="C392" s="24"/>
      <c r="D392" s="24"/>
      <c r="E392" s="24"/>
      <c r="F392" s="24"/>
      <c r="G392" s="24"/>
      <c r="H392" s="24"/>
      <c r="I392" s="24"/>
      <c r="J392" s="24"/>
      <c r="K392" s="24"/>
      <c r="L392" s="73"/>
      <c r="M392" s="24"/>
      <c r="N392" s="24"/>
      <c r="O392" s="24"/>
      <c r="P392" s="24"/>
      <c r="Q392" s="24"/>
      <c r="R392" s="24"/>
      <c r="S392" s="24"/>
      <c r="T392" s="24"/>
    </row>
    <row r="393" spans="1:20">
      <c r="A393" s="22"/>
      <c r="B393" s="22"/>
      <c r="C393" s="24"/>
      <c r="D393" s="24"/>
      <c r="E393" s="24"/>
      <c r="F393" s="24"/>
      <c r="G393" s="24"/>
      <c r="H393" s="24"/>
      <c r="I393" s="24"/>
      <c r="J393" s="24"/>
      <c r="K393" s="24"/>
      <c r="L393" s="73"/>
      <c r="M393" s="24"/>
      <c r="N393" s="24"/>
      <c r="O393" s="24"/>
      <c r="P393" s="24"/>
      <c r="Q393" s="24"/>
      <c r="R393" s="24"/>
      <c r="S393" s="24"/>
      <c r="T393" s="24"/>
    </row>
    <row r="394" spans="1:20">
      <c r="A394" s="22"/>
      <c r="B394" s="22"/>
      <c r="C394" s="24"/>
      <c r="D394" s="24"/>
      <c r="E394" s="24"/>
      <c r="F394" s="24"/>
      <c r="G394" s="24"/>
      <c r="H394" s="24"/>
      <c r="I394" s="24"/>
      <c r="J394" s="24"/>
      <c r="K394" s="24"/>
      <c r="L394" s="73"/>
      <c r="M394" s="24"/>
      <c r="N394" s="24"/>
      <c r="O394" s="24"/>
      <c r="P394" s="24"/>
      <c r="Q394" s="24"/>
      <c r="R394" s="24"/>
      <c r="S394" s="24"/>
      <c r="T394" s="24"/>
    </row>
    <row r="395" spans="1:20">
      <c r="A395" s="22"/>
      <c r="B395" s="22"/>
      <c r="C395" s="24"/>
      <c r="D395" s="24"/>
      <c r="E395" s="24"/>
      <c r="F395" s="24"/>
      <c r="G395" s="24"/>
      <c r="H395" s="24"/>
      <c r="I395" s="24"/>
      <c r="J395" s="24"/>
      <c r="K395" s="24"/>
      <c r="L395" s="73"/>
      <c r="M395" s="24"/>
      <c r="N395" s="24"/>
      <c r="O395" s="24"/>
      <c r="P395" s="24"/>
      <c r="Q395" s="24"/>
      <c r="R395" s="24"/>
      <c r="S395" s="24"/>
      <c r="T395" s="24"/>
    </row>
    <row r="396" spans="1:20">
      <c r="A396" s="22"/>
      <c r="B396" s="22"/>
      <c r="C396" s="24"/>
      <c r="D396" s="24"/>
      <c r="E396" s="24"/>
      <c r="F396" s="24"/>
      <c r="G396" s="24"/>
      <c r="H396" s="24"/>
      <c r="I396" s="24"/>
      <c r="J396" s="24"/>
      <c r="K396" s="24"/>
      <c r="L396" s="73"/>
      <c r="M396" s="24"/>
      <c r="N396" s="24"/>
      <c r="O396" s="24"/>
      <c r="P396" s="24"/>
      <c r="Q396" s="24"/>
      <c r="R396" s="24"/>
      <c r="S396" s="24"/>
      <c r="T396" s="24"/>
    </row>
    <row r="397" spans="1:20">
      <c r="A397" s="22"/>
      <c r="B397" s="22"/>
      <c r="C397" s="24"/>
      <c r="D397" s="24"/>
      <c r="E397" s="24"/>
      <c r="F397" s="24"/>
      <c r="G397" s="24"/>
      <c r="H397" s="24"/>
      <c r="I397" s="24"/>
      <c r="J397" s="24"/>
      <c r="K397" s="24"/>
      <c r="L397" s="73"/>
      <c r="M397" s="24"/>
      <c r="N397" s="24"/>
      <c r="O397" s="24"/>
      <c r="P397" s="24"/>
      <c r="Q397" s="24"/>
      <c r="R397" s="24"/>
      <c r="S397" s="24"/>
      <c r="T397" s="24"/>
    </row>
    <row r="398" spans="1:20">
      <c r="A398" s="22"/>
      <c r="B398" s="22"/>
      <c r="C398" s="24"/>
      <c r="D398" s="24"/>
      <c r="E398" s="24"/>
      <c r="F398" s="24"/>
      <c r="G398" s="24"/>
      <c r="H398" s="24"/>
      <c r="I398" s="24"/>
      <c r="J398" s="24"/>
      <c r="K398" s="24"/>
      <c r="L398" s="73"/>
      <c r="M398" s="24"/>
      <c r="N398" s="24"/>
      <c r="O398" s="24"/>
      <c r="P398" s="24"/>
      <c r="Q398" s="24"/>
      <c r="R398" s="24"/>
      <c r="S398" s="24"/>
      <c r="T398" s="24"/>
    </row>
    <row r="399" spans="1:20">
      <c r="A399" s="22"/>
      <c r="B399" s="22"/>
      <c r="C399" s="24"/>
      <c r="D399" s="24"/>
      <c r="E399" s="24"/>
      <c r="F399" s="24"/>
      <c r="G399" s="24"/>
      <c r="H399" s="24"/>
      <c r="I399" s="24"/>
      <c r="J399" s="24"/>
      <c r="K399" s="24"/>
      <c r="L399" s="73"/>
      <c r="M399" s="24"/>
      <c r="N399" s="24"/>
      <c r="O399" s="24"/>
      <c r="P399" s="24"/>
      <c r="Q399" s="24"/>
      <c r="R399" s="24"/>
      <c r="S399" s="24"/>
      <c r="T399" s="24"/>
    </row>
    <row r="400" spans="1:20">
      <c r="A400" s="22"/>
      <c r="B400" s="22"/>
      <c r="C400" s="24"/>
      <c r="D400" s="24"/>
      <c r="E400" s="24"/>
      <c r="F400" s="24"/>
      <c r="G400" s="24"/>
      <c r="H400" s="24"/>
      <c r="I400" s="24"/>
      <c r="J400" s="24"/>
      <c r="K400" s="24"/>
      <c r="L400" s="73"/>
      <c r="M400" s="24"/>
      <c r="N400" s="24"/>
      <c r="O400" s="24"/>
      <c r="P400" s="24"/>
      <c r="Q400" s="24"/>
      <c r="R400" s="24"/>
      <c r="S400" s="24"/>
      <c r="T400" s="24"/>
    </row>
    <row r="401" spans="1:20">
      <c r="A401" s="22"/>
      <c r="B401" s="22"/>
      <c r="C401" s="24"/>
      <c r="D401" s="24"/>
      <c r="E401" s="24"/>
      <c r="F401" s="24"/>
      <c r="G401" s="24"/>
      <c r="H401" s="24"/>
      <c r="I401" s="24"/>
      <c r="J401" s="24"/>
      <c r="K401" s="24"/>
      <c r="L401" s="73"/>
      <c r="M401" s="24"/>
      <c r="N401" s="24"/>
      <c r="O401" s="24"/>
      <c r="P401" s="24"/>
      <c r="Q401" s="24"/>
      <c r="R401" s="24"/>
      <c r="S401" s="24"/>
      <c r="T401" s="24"/>
    </row>
    <row r="402" spans="1:20">
      <c r="A402" s="22"/>
      <c r="B402" s="22"/>
      <c r="C402" s="24"/>
      <c r="D402" s="24"/>
      <c r="E402" s="24"/>
      <c r="F402" s="24"/>
      <c r="G402" s="24"/>
      <c r="H402" s="24"/>
      <c r="I402" s="24"/>
      <c r="J402" s="24"/>
      <c r="K402" s="24"/>
      <c r="L402" s="73"/>
      <c r="M402" s="24"/>
      <c r="N402" s="24"/>
      <c r="O402" s="24"/>
      <c r="P402" s="24"/>
      <c r="Q402" s="24"/>
      <c r="R402" s="24"/>
      <c r="S402" s="24"/>
      <c r="T402" s="24"/>
    </row>
    <row r="403" spans="1:20">
      <c r="A403" s="22"/>
      <c r="B403" s="22"/>
      <c r="C403" s="24"/>
      <c r="D403" s="24"/>
      <c r="E403" s="24"/>
      <c r="F403" s="24"/>
      <c r="G403" s="24"/>
      <c r="H403" s="24"/>
      <c r="I403" s="24"/>
      <c r="J403" s="24"/>
      <c r="K403" s="24"/>
      <c r="L403" s="73"/>
      <c r="M403" s="24"/>
      <c r="N403" s="24"/>
      <c r="O403" s="24"/>
      <c r="P403" s="24"/>
      <c r="Q403" s="24"/>
      <c r="R403" s="24"/>
      <c r="S403" s="24"/>
      <c r="T403" s="24"/>
    </row>
    <row r="404" spans="1:20">
      <c r="A404" s="22"/>
      <c r="B404" s="22"/>
      <c r="C404" s="24"/>
      <c r="D404" s="24"/>
      <c r="E404" s="24"/>
      <c r="F404" s="24"/>
      <c r="G404" s="24"/>
      <c r="H404" s="24"/>
      <c r="I404" s="24"/>
      <c r="J404" s="24"/>
      <c r="K404" s="24"/>
      <c r="L404" s="73"/>
      <c r="M404" s="24"/>
      <c r="N404" s="24"/>
      <c r="O404" s="24"/>
      <c r="P404" s="24"/>
      <c r="Q404" s="24"/>
      <c r="R404" s="24"/>
      <c r="S404" s="24"/>
      <c r="T404" s="24"/>
    </row>
    <row r="405" spans="1:20">
      <c r="A405" s="22"/>
      <c r="B405" s="22"/>
      <c r="C405" s="24"/>
      <c r="D405" s="24"/>
      <c r="E405" s="24"/>
      <c r="F405" s="24"/>
      <c r="G405" s="24"/>
      <c r="H405" s="24"/>
      <c r="I405" s="24"/>
      <c r="J405" s="24"/>
      <c r="K405" s="24"/>
      <c r="L405" s="73"/>
      <c r="M405" s="24"/>
      <c r="N405" s="24"/>
      <c r="O405" s="24"/>
      <c r="P405" s="24"/>
      <c r="Q405" s="24"/>
      <c r="R405" s="24"/>
      <c r="S405" s="24"/>
      <c r="T405" s="24"/>
    </row>
    <row r="406" spans="1:20">
      <c r="A406" s="22"/>
      <c r="B406" s="22"/>
      <c r="C406" s="24"/>
      <c r="D406" s="24"/>
      <c r="E406" s="24"/>
      <c r="F406" s="24"/>
      <c r="G406" s="24"/>
      <c r="H406" s="24"/>
      <c r="I406" s="24"/>
      <c r="J406" s="24"/>
      <c r="K406" s="24"/>
      <c r="L406" s="73"/>
      <c r="M406" s="24"/>
      <c r="N406" s="24"/>
      <c r="O406" s="24"/>
      <c r="P406" s="24"/>
      <c r="Q406" s="24"/>
      <c r="R406" s="24"/>
      <c r="S406" s="24"/>
      <c r="T406" s="24"/>
    </row>
    <row r="407" spans="1:20">
      <c r="A407" s="22"/>
      <c r="B407" s="22"/>
      <c r="C407" s="24"/>
      <c r="D407" s="24"/>
      <c r="E407" s="24"/>
      <c r="F407" s="24"/>
      <c r="G407" s="24"/>
      <c r="H407" s="24"/>
      <c r="I407" s="24"/>
      <c r="J407" s="24"/>
      <c r="K407" s="24"/>
      <c r="L407" s="73"/>
      <c r="M407" s="24"/>
      <c r="N407" s="24"/>
      <c r="O407" s="24"/>
      <c r="P407" s="24"/>
      <c r="Q407" s="24"/>
      <c r="R407" s="24"/>
      <c r="S407" s="24"/>
      <c r="T407" s="24"/>
    </row>
    <row r="408" spans="1:20">
      <c r="A408" s="22"/>
      <c r="B408" s="22"/>
      <c r="C408" s="24"/>
      <c r="D408" s="24"/>
      <c r="E408" s="24"/>
      <c r="F408" s="24"/>
      <c r="G408" s="24"/>
      <c r="H408" s="24"/>
      <c r="I408" s="24"/>
      <c r="J408" s="24"/>
      <c r="K408" s="24"/>
      <c r="L408" s="73"/>
      <c r="M408" s="24"/>
      <c r="N408" s="24"/>
      <c r="O408" s="24"/>
      <c r="P408" s="24"/>
      <c r="Q408" s="24"/>
      <c r="R408" s="24"/>
      <c r="S408" s="24"/>
      <c r="T408" s="24"/>
    </row>
    <row r="409" spans="1:20">
      <c r="A409" s="22"/>
      <c r="B409" s="22"/>
      <c r="C409" s="24"/>
      <c r="D409" s="24"/>
      <c r="E409" s="24"/>
      <c r="F409" s="24"/>
      <c r="G409" s="24"/>
      <c r="H409" s="24"/>
      <c r="I409" s="24"/>
      <c r="J409" s="24"/>
      <c r="K409" s="24"/>
      <c r="L409" s="73"/>
      <c r="M409" s="24"/>
      <c r="N409" s="24"/>
      <c r="O409" s="24"/>
      <c r="P409" s="24"/>
      <c r="Q409" s="24"/>
      <c r="R409" s="24"/>
      <c r="S409" s="24"/>
      <c r="T409" s="24"/>
    </row>
    <row r="410" spans="1:20">
      <c r="A410" s="22"/>
      <c r="B410" s="22"/>
      <c r="C410" s="24"/>
      <c r="D410" s="24"/>
      <c r="E410" s="24"/>
      <c r="F410" s="24"/>
      <c r="G410" s="24"/>
      <c r="H410" s="24"/>
      <c r="I410" s="24"/>
      <c r="J410" s="24"/>
      <c r="K410" s="24"/>
      <c r="L410" s="73"/>
      <c r="M410" s="24"/>
      <c r="N410" s="24"/>
      <c r="O410" s="24"/>
      <c r="P410" s="24"/>
      <c r="Q410" s="24"/>
      <c r="R410" s="24"/>
      <c r="S410" s="24"/>
      <c r="T410" s="24"/>
    </row>
    <row r="411" spans="1:20">
      <c r="A411" s="22"/>
      <c r="B411" s="22"/>
      <c r="C411" s="24"/>
      <c r="D411" s="24"/>
      <c r="E411" s="24"/>
      <c r="F411" s="24"/>
      <c r="G411" s="24"/>
      <c r="H411" s="24"/>
      <c r="I411" s="24"/>
      <c r="J411" s="24"/>
      <c r="K411" s="24"/>
      <c r="L411" s="73"/>
      <c r="M411" s="24"/>
      <c r="N411" s="24"/>
      <c r="O411" s="24"/>
      <c r="P411" s="24"/>
      <c r="Q411" s="24"/>
      <c r="R411" s="24"/>
      <c r="S411" s="24"/>
      <c r="T411" s="24"/>
    </row>
    <row r="412" spans="1:20">
      <c r="A412" s="22"/>
      <c r="B412" s="22"/>
      <c r="C412" s="24"/>
      <c r="D412" s="24"/>
      <c r="E412" s="24"/>
      <c r="F412" s="24"/>
      <c r="G412" s="24"/>
      <c r="H412" s="24"/>
      <c r="I412" s="24"/>
      <c r="J412" s="24"/>
      <c r="K412" s="24"/>
      <c r="L412" s="73"/>
      <c r="M412" s="24"/>
      <c r="N412" s="24"/>
      <c r="O412" s="24"/>
      <c r="P412" s="24"/>
      <c r="Q412" s="24"/>
      <c r="R412" s="24"/>
      <c r="S412" s="24"/>
      <c r="T412" s="24"/>
    </row>
    <row r="413" spans="1:20">
      <c r="A413" s="22"/>
      <c r="B413" s="22"/>
      <c r="C413" s="24"/>
      <c r="D413" s="24"/>
      <c r="E413" s="24"/>
      <c r="F413" s="24"/>
      <c r="G413" s="24"/>
      <c r="H413" s="24"/>
      <c r="I413" s="24"/>
      <c r="J413" s="24"/>
      <c r="K413" s="24"/>
      <c r="L413" s="73"/>
      <c r="M413" s="24"/>
      <c r="N413" s="24"/>
      <c r="O413" s="24"/>
      <c r="P413" s="24"/>
      <c r="Q413" s="24"/>
      <c r="R413" s="24"/>
      <c r="S413" s="24"/>
      <c r="T413" s="24"/>
    </row>
    <row r="414" spans="1:20">
      <c r="A414" s="22"/>
      <c r="B414" s="22"/>
      <c r="C414" s="24"/>
      <c r="D414" s="24"/>
      <c r="E414" s="24"/>
      <c r="F414" s="24"/>
      <c r="G414" s="24"/>
      <c r="H414" s="24"/>
      <c r="I414" s="24"/>
      <c r="J414" s="24"/>
      <c r="K414" s="24"/>
      <c r="L414" s="73"/>
      <c r="M414" s="24"/>
      <c r="N414" s="24"/>
      <c r="O414" s="24"/>
      <c r="P414" s="24"/>
      <c r="Q414" s="24"/>
      <c r="R414" s="24"/>
      <c r="S414" s="24"/>
      <c r="T414" s="24"/>
    </row>
    <row r="415" spans="1:20">
      <c r="A415" s="22"/>
      <c r="B415" s="22"/>
      <c r="C415" s="24"/>
      <c r="D415" s="24"/>
      <c r="E415" s="24"/>
      <c r="F415" s="24"/>
      <c r="G415" s="24"/>
      <c r="H415" s="24"/>
      <c r="I415" s="24"/>
      <c r="J415" s="24"/>
      <c r="K415" s="24"/>
      <c r="L415" s="73"/>
      <c r="M415" s="24"/>
      <c r="N415" s="24"/>
      <c r="O415" s="24"/>
      <c r="P415" s="24"/>
      <c r="Q415" s="24"/>
      <c r="R415" s="24"/>
      <c r="S415" s="24"/>
      <c r="T415" s="24"/>
    </row>
    <row r="416" spans="1:20">
      <c r="A416" s="22"/>
      <c r="B416" s="22"/>
      <c r="C416" s="24"/>
      <c r="D416" s="24"/>
      <c r="E416" s="24"/>
      <c r="F416" s="24"/>
      <c r="G416" s="24"/>
      <c r="H416" s="24"/>
      <c r="I416" s="24"/>
      <c r="J416" s="24"/>
      <c r="K416" s="24"/>
      <c r="L416" s="73"/>
      <c r="M416" s="24"/>
      <c r="N416" s="24"/>
      <c r="O416" s="24"/>
      <c r="P416" s="24"/>
      <c r="Q416" s="24"/>
      <c r="R416" s="24"/>
      <c r="S416" s="24"/>
      <c r="T416" s="24"/>
    </row>
    <row r="417" spans="1:20">
      <c r="A417" s="22"/>
      <c r="B417" s="22"/>
      <c r="C417" s="24"/>
      <c r="D417" s="24"/>
      <c r="E417" s="24"/>
      <c r="F417" s="24"/>
      <c r="G417" s="24"/>
      <c r="H417" s="24"/>
      <c r="I417" s="24"/>
      <c r="J417" s="24"/>
      <c r="K417" s="24"/>
      <c r="L417" s="73"/>
      <c r="M417" s="24"/>
      <c r="N417" s="24"/>
      <c r="O417" s="24"/>
      <c r="P417" s="24"/>
      <c r="Q417" s="24"/>
      <c r="R417" s="24"/>
      <c r="S417" s="24"/>
      <c r="T417" s="24"/>
    </row>
    <row r="418" spans="1:20">
      <c r="A418" s="22"/>
      <c r="B418" s="22"/>
      <c r="C418" s="24"/>
      <c r="D418" s="24"/>
      <c r="E418" s="24"/>
      <c r="F418" s="24"/>
      <c r="G418" s="24"/>
      <c r="H418" s="24"/>
      <c r="I418" s="24"/>
      <c r="J418" s="24"/>
      <c r="K418" s="24"/>
      <c r="L418" s="73"/>
      <c r="M418" s="24"/>
      <c r="N418" s="24"/>
      <c r="O418" s="24"/>
      <c r="P418" s="24"/>
      <c r="Q418" s="24"/>
      <c r="R418" s="24"/>
      <c r="S418" s="24"/>
      <c r="T418" s="24"/>
    </row>
    <row r="419" spans="1:20">
      <c r="A419" s="22"/>
      <c r="B419" s="22"/>
      <c r="C419" s="24"/>
      <c r="D419" s="24"/>
      <c r="E419" s="24"/>
      <c r="F419" s="24"/>
      <c r="G419" s="24"/>
      <c r="H419" s="24"/>
      <c r="I419" s="24"/>
      <c r="J419" s="24"/>
      <c r="K419" s="24"/>
      <c r="L419" s="73"/>
      <c r="M419" s="24"/>
      <c r="N419" s="24"/>
      <c r="O419" s="24"/>
      <c r="P419" s="24"/>
      <c r="Q419" s="24"/>
      <c r="R419" s="24"/>
      <c r="S419" s="24"/>
      <c r="T419" s="24"/>
    </row>
    <row r="420" spans="1:20">
      <c r="A420" s="22"/>
      <c r="B420" s="22"/>
      <c r="C420" s="24"/>
      <c r="D420" s="24"/>
      <c r="E420" s="24"/>
      <c r="F420" s="24"/>
      <c r="G420" s="24"/>
      <c r="H420" s="24"/>
      <c r="I420" s="24"/>
      <c r="J420" s="24"/>
      <c r="K420" s="24"/>
      <c r="L420" s="73"/>
      <c r="M420" s="24"/>
      <c r="N420" s="24"/>
      <c r="O420" s="24"/>
      <c r="P420" s="24"/>
      <c r="Q420" s="24"/>
      <c r="R420" s="24"/>
      <c r="S420" s="24"/>
      <c r="T420" s="24"/>
    </row>
    <row r="421" spans="1:20">
      <c r="A421" s="22"/>
      <c r="B421" s="22"/>
      <c r="C421" s="24"/>
      <c r="D421" s="24"/>
      <c r="E421" s="24"/>
      <c r="F421" s="24"/>
      <c r="G421" s="24"/>
      <c r="H421" s="24"/>
      <c r="I421" s="24"/>
      <c r="J421" s="24"/>
      <c r="K421" s="24"/>
      <c r="L421" s="73"/>
      <c r="M421" s="24"/>
      <c r="N421" s="24"/>
      <c r="O421" s="24"/>
      <c r="P421" s="24"/>
      <c r="Q421" s="24"/>
      <c r="R421" s="24"/>
      <c r="S421" s="24"/>
      <c r="T421" s="24"/>
    </row>
    <row r="422" spans="1:20">
      <c r="A422" s="22"/>
      <c r="B422" s="22"/>
      <c r="C422" s="24"/>
      <c r="D422" s="24"/>
      <c r="E422" s="24"/>
      <c r="F422" s="24"/>
      <c r="G422" s="24"/>
      <c r="H422" s="24"/>
      <c r="I422" s="24"/>
      <c r="J422" s="24"/>
      <c r="K422" s="24"/>
      <c r="L422" s="73"/>
      <c r="M422" s="24"/>
      <c r="N422" s="24"/>
      <c r="O422" s="24"/>
      <c r="P422" s="24"/>
      <c r="Q422" s="24"/>
      <c r="R422" s="24"/>
      <c r="S422" s="24"/>
      <c r="T422" s="24"/>
    </row>
    <row r="423" spans="1:20">
      <c r="A423" s="22"/>
      <c r="B423" s="22"/>
      <c r="C423" s="24"/>
      <c r="D423" s="24"/>
      <c r="E423" s="24"/>
      <c r="F423" s="24"/>
      <c r="G423" s="24"/>
      <c r="H423" s="24"/>
      <c r="I423" s="24"/>
      <c r="J423" s="24"/>
      <c r="K423" s="24"/>
      <c r="L423" s="73"/>
      <c r="M423" s="24"/>
      <c r="N423" s="24"/>
      <c r="O423" s="24"/>
      <c r="P423" s="24"/>
      <c r="Q423" s="24"/>
      <c r="R423" s="24"/>
      <c r="S423" s="24"/>
      <c r="T423" s="24"/>
    </row>
    <row r="424" spans="1:20">
      <c r="A424" s="22"/>
      <c r="B424" s="22"/>
      <c r="C424" s="24"/>
      <c r="D424" s="24"/>
      <c r="E424" s="24"/>
      <c r="F424" s="24"/>
      <c r="G424" s="24"/>
      <c r="H424" s="24"/>
      <c r="I424" s="24"/>
      <c r="J424" s="24"/>
      <c r="K424" s="24"/>
      <c r="L424" s="73"/>
      <c r="M424" s="24"/>
      <c r="N424" s="24"/>
      <c r="O424" s="24"/>
      <c r="P424" s="24"/>
      <c r="Q424" s="24"/>
      <c r="R424" s="24"/>
      <c r="S424" s="24"/>
      <c r="T424" s="24"/>
    </row>
    <row r="425" spans="1:20">
      <c r="A425" s="22"/>
      <c r="B425" s="22"/>
      <c r="C425" s="24"/>
      <c r="D425" s="24"/>
      <c r="E425" s="24"/>
      <c r="F425" s="24"/>
      <c r="G425" s="24"/>
      <c r="H425" s="24"/>
      <c r="I425" s="24"/>
      <c r="J425" s="24"/>
      <c r="K425" s="24"/>
      <c r="L425" s="73"/>
      <c r="M425" s="24"/>
      <c r="N425" s="24"/>
      <c r="O425" s="24"/>
      <c r="P425" s="24"/>
      <c r="Q425" s="24"/>
      <c r="R425" s="24"/>
      <c r="S425" s="24"/>
      <c r="T425" s="24"/>
    </row>
    <row r="426" spans="1:20">
      <c r="A426" s="22"/>
      <c r="B426" s="22"/>
      <c r="C426" s="24"/>
      <c r="D426" s="24"/>
      <c r="E426" s="24"/>
      <c r="F426" s="24"/>
      <c r="G426" s="24"/>
      <c r="H426" s="24"/>
      <c r="I426" s="24"/>
      <c r="J426" s="24"/>
      <c r="K426" s="24"/>
      <c r="L426" s="73"/>
      <c r="M426" s="24"/>
      <c r="N426" s="24"/>
      <c r="O426" s="24"/>
      <c r="P426" s="24"/>
      <c r="Q426" s="24"/>
      <c r="R426" s="24"/>
      <c r="S426" s="24"/>
      <c r="T426" s="24"/>
    </row>
    <row r="427" spans="1:20">
      <c r="A427" s="22"/>
      <c r="B427" s="22"/>
      <c r="C427" s="24"/>
      <c r="D427" s="24"/>
      <c r="E427" s="24"/>
      <c r="F427" s="24"/>
      <c r="G427" s="24"/>
      <c r="H427" s="24"/>
      <c r="I427" s="24"/>
      <c r="J427" s="24"/>
      <c r="K427" s="24"/>
      <c r="L427" s="73"/>
      <c r="M427" s="24"/>
      <c r="N427" s="24"/>
      <c r="O427" s="24"/>
      <c r="P427" s="24"/>
      <c r="Q427" s="24"/>
      <c r="R427" s="24"/>
      <c r="S427" s="24"/>
      <c r="T427" s="24"/>
    </row>
    <row r="428" spans="1:20">
      <c r="A428" s="22"/>
      <c r="B428" s="22"/>
      <c r="C428" s="24"/>
      <c r="D428" s="24"/>
      <c r="E428" s="24"/>
      <c r="F428" s="24"/>
      <c r="G428" s="24"/>
      <c r="H428" s="24"/>
      <c r="I428" s="24"/>
      <c r="J428" s="24"/>
      <c r="K428" s="24"/>
      <c r="L428" s="73"/>
      <c r="M428" s="24"/>
      <c r="N428" s="24"/>
      <c r="O428" s="24"/>
      <c r="P428" s="24"/>
      <c r="Q428" s="24"/>
      <c r="R428" s="24"/>
      <c r="S428" s="24"/>
      <c r="T428" s="24"/>
    </row>
    <row r="429" spans="1:20">
      <c r="A429" s="22"/>
      <c r="B429" s="22"/>
      <c r="C429" s="24"/>
      <c r="D429" s="24"/>
      <c r="E429" s="24"/>
      <c r="F429" s="24"/>
      <c r="G429" s="24"/>
      <c r="H429" s="24"/>
      <c r="I429" s="24"/>
      <c r="J429" s="24"/>
      <c r="K429" s="24"/>
      <c r="L429" s="73"/>
      <c r="M429" s="24"/>
      <c r="N429" s="24"/>
      <c r="O429" s="24"/>
      <c r="P429" s="24"/>
      <c r="Q429" s="24"/>
      <c r="R429" s="24"/>
      <c r="S429" s="24"/>
      <c r="T429" s="24"/>
    </row>
    <row r="430" spans="1:20">
      <c r="A430" s="22"/>
      <c r="B430" s="22"/>
      <c r="C430" s="24"/>
      <c r="D430" s="24"/>
      <c r="E430" s="24"/>
      <c r="F430" s="24"/>
      <c r="G430" s="24"/>
      <c r="H430" s="24"/>
      <c r="I430" s="24"/>
      <c r="J430" s="24"/>
      <c r="K430" s="24"/>
      <c r="L430" s="73"/>
      <c r="M430" s="24"/>
      <c r="N430" s="24"/>
      <c r="O430" s="24"/>
      <c r="P430" s="24"/>
      <c r="Q430" s="24"/>
      <c r="R430" s="24"/>
      <c r="S430" s="24"/>
      <c r="T430" s="24"/>
    </row>
    <row r="431" spans="1:20">
      <c r="A431" s="22"/>
      <c r="B431" s="22"/>
      <c r="C431" s="24"/>
      <c r="D431" s="24"/>
      <c r="E431" s="24"/>
      <c r="F431" s="24"/>
      <c r="G431" s="24"/>
      <c r="H431" s="24"/>
      <c r="I431" s="24"/>
      <c r="J431" s="24"/>
      <c r="K431" s="24"/>
      <c r="L431" s="73"/>
      <c r="M431" s="24"/>
      <c r="N431" s="24"/>
      <c r="O431" s="24"/>
      <c r="P431" s="24"/>
      <c r="Q431" s="24"/>
      <c r="R431" s="24"/>
      <c r="S431" s="24"/>
      <c r="T431" s="24"/>
    </row>
    <row r="432" spans="1:20">
      <c r="A432" s="22"/>
      <c r="B432" s="22"/>
      <c r="C432" s="24"/>
      <c r="D432" s="24"/>
      <c r="E432" s="24"/>
      <c r="F432" s="24"/>
      <c r="G432" s="24"/>
      <c r="H432" s="24"/>
      <c r="I432" s="24"/>
      <c r="J432" s="24"/>
      <c r="K432" s="24"/>
      <c r="L432" s="73"/>
      <c r="M432" s="24"/>
      <c r="N432" s="24"/>
      <c r="O432" s="24"/>
      <c r="P432" s="24"/>
      <c r="Q432" s="24"/>
      <c r="R432" s="24"/>
      <c r="S432" s="24"/>
      <c r="T432" s="24"/>
    </row>
    <row r="433" spans="1:20">
      <c r="A433" s="22"/>
      <c r="B433" s="22"/>
      <c r="C433" s="24"/>
      <c r="D433" s="24"/>
      <c r="E433" s="24"/>
      <c r="F433" s="24"/>
      <c r="G433" s="24"/>
      <c r="H433" s="24"/>
      <c r="I433" s="24"/>
      <c r="J433" s="24"/>
      <c r="K433" s="24"/>
      <c r="L433" s="73"/>
      <c r="M433" s="24"/>
      <c r="N433" s="24"/>
      <c r="O433" s="24"/>
      <c r="P433" s="24"/>
      <c r="Q433" s="24"/>
      <c r="R433" s="24"/>
      <c r="S433" s="24"/>
      <c r="T433" s="24"/>
    </row>
    <row r="434" spans="1:20">
      <c r="A434" s="22"/>
      <c r="B434" s="22"/>
      <c r="C434" s="24"/>
      <c r="D434" s="24"/>
      <c r="E434" s="24"/>
      <c r="F434" s="24"/>
      <c r="G434" s="24"/>
      <c r="H434" s="24"/>
      <c r="I434" s="24"/>
      <c r="J434" s="24"/>
      <c r="K434" s="24"/>
      <c r="L434" s="73"/>
      <c r="M434" s="24"/>
      <c r="N434" s="24"/>
      <c r="O434" s="24"/>
      <c r="P434" s="24"/>
      <c r="Q434" s="24"/>
      <c r="R434" s="24"/>
      <c r="S434" s="24"/>
      <c r="T434" s="24"/>
    </row>
    <row r="435" spans="1:20">
      <c r="A435" s="22"/>
      <c r="B435" s="22"/>
      <c r="C435" s="24"/>
      <c r="D435" s="24"/>
      <c r="E435" s="24"/>
      <c r="F435" s="24"/>
      <c r="G435" s="24"/>
      <c r="H435" s="24"/>
      <c r="I435" s="24"/>
      <c r="J435" s="24"/>
      <c r="K435" s="24"/>
      <c r="L435" s="73"/>
      <c r="M435" s="24"/>
      <c r="N435" s="24"/>
      <c r="O435" s="24"/>
      <c r="P435" s="24"/>
      <c r="Q435" s="24"/>
      <c r="R435" s="24"/>
      <c r="S435" s="24"/>
      <c r="T435" s="24"/>
    </row>
    <row r="436" spans="1:20">
      <c r="A436" s="22"/>
      <c r="B436" s="22"/>
      <c r="C436" s="24"/>
      <c r="D436" s="24"/>
      <c r="E436" s="24"/>
      <c r="F436" s="24"/>
      <c r="G436" s="24"/>
      <c r="H436" s="24"/>
      <c r="I436" s="24"/>
      <c r="J436" s="24"/>
      <c r="K436" s="24"/>
      <c r="L436" s="73"/>
      <c r="M436" s="24"/>
      <c r="N436" s="24"/>
      <c r="O436" s="24"/>
      <c r="P436" s="24"/>
      <c r="Q436" s="24"/>
      <c r="R436" s="24"/>
      <c r="S436" s="24"/>
      <c r="T436" s="24"/>
    </row>
    <row r="437" spans="1:20">
      <c r="A437" s="22"/>
      <c r="B437" s="22"/>
      <c r="C437" s="24"/>
      <c r="D437" s="24"/>
      <c r="E437" s="24"/>
      <c r="F437" s="24"/>
      <c r="G437" s="24"/>
      <c r="H437" s="24"/>
      <c r="I437" s="24"/>
      <c r="J437" s="24"/>
      <c r="K437" s="24"/>
      <c r="L437" s="73"/>
      <c r="M437" s="24"/>
      <c r="N437" s="24"/>
      <c r="O437" s="24"/>
      <c r="P437" s="24"/>
      <c r="Q437" s="24"/>
      <c r="R437" s="24"/>
      <c r="S437" s="24"/>
      <c r="T437" s="24"/>
    </row>
    <row r="438" spans="1:20">
      <c r="A438" s="22"/>
      <c r="B438" s="22"/>
      <c r="C438" s="24"/>
      <c r="D438" s="24"/>
      <c r="E438" s="24"/>
      <c r="F438" s="24"/>
      <c r="G438" s="24"/>
      <c r="H438" s="24"/>
      <c r="I438" s="24"/>
      <c r="J438" s="24"/>
      <c r="K438" s="24"/>
      <c r="L438" s="73"/>
      <c r="M438" s="24"/>
      <c r="N438" s="24"/>
      <c r="O438" s="24"/>
      <c r="P438" s="24"/>
      <c r="Q438" s="24"/>
      <c r="R438" s="24"/>
      <c r="S438" s="24"/>
      <c r="T438" s="24"/>
    </row>
    <row r="439" spans="1:20">
      <c r="A439" s="22"/>
      <c r="B439" s="22"/>
      <c r="C439" s="24"/>
      <c r="D439" s="24"/>
      <c r="E439" s="24"/>
      <c r="F439" s="24"/>
      <c r="G439" s="24"/>
      <c r="H439" s="24"/>
      <c r="I439" s="24"/>
      <c r="J439" s="24"/>
      <c r="K439" s="24"/>
      <c r="L439" s="73"/>
      <c r="M439" s="24"/>
      <c r="N439" s="24"/>
      <c r="O439" s="24"/>
      <c r="P439" s="24"/>
      <c r="Q439" s="24"/>
      <c r="R439" s="24"/>
      <c r="S439" s="24"/>
      <c r="T439" s="24"/>
    </row>
    <row r="440" spans="1:20">
      <c r="A440" s="22"/>
      <c r="B440" s="22"/>
      <c r="C440" s="24"/>
      <c r="D440" s="24"/>
      <c r="E440" s="24"/>
      <c r="F440" s="24"/>
      <c r="G440" s="24"/>
      <c r="H440" s="24"/>
      <c r="I440" s="24"/>
      <c r="J440" s="24"/>
      <c r="K440" s="24"/>
      <c r="L440" s="73"/>
      <c r="M440" s="24"/>
      <c r="N440" s="24"/>
      <c r="O440" s="24"/>
      <c r="P440" s="24"/>
      <c r="Q440" s="24"/>
      <c r="R440" s="24"/>
      <c r="S440" s="24"/>
      <c r="T440" s="24"/>
    </row>
    <row r="441" spans="1:20">
      <c r="A441" s="22"/>
      <c r="B441" s="22"/>
      <c r="C441" s="24"/>
      <c r="D441" s="24"/>
      <c r="E441" s="24"/>
      <c r="F441" s="24"/>
      <c r="G441" s="24"/>
      <c r="H441" s="24"/>
      <c r="I441" s="24"/>
      <c r="J441" s="24"/>
      <c r="K441" s="24"/>
      <c r="L441" s="73"/>
      <c r="M441" s="24"/>
      <c r="N441" s="24"/>
      <c r="O441" s="24"/>
      <c r="P441" s="24"/>
      <c r="Q441" s="24"/>
      <c r="R441" s="24"/>
      <c r="S441" s="24"/>
      <c r="T441" s="24"/>
    </row>
    <row r="442" spans="1:20">
      <c r="A442" s="22"/>
      <c r="B442" s="22"/>
      <c r="C442" s="24"/>
      <c r="D442" s="24"/>
      <c r="E442" s="24"/>
      <c r="F442" s="24"/>
      <c r="G442" s="24"/>
      <c r="H442" s="24"/>
      <c r="I442" s="24"/>
      <c r="J442" s="24"/>
      <c r="K442" s="24"/>
      <c r="L442" s="73"/>
      <c r="M442" s="24"/>
      <c r="N442" s="24"/>
      <c r="O442" s="24"/>
      <c r="P442" s="24"/>
      <c r="Q442" s="24"/>
      <c r="R442" s="24"/>
      <c r="S442" s="24"/>
      <c r="T442" s="24"/>
    </row>
    <row r="443" spans="1:20">
      <c r="A443" s="22"/>
      <c r="B443" s="22"/>
      <c r="C443" s="24"/>
      <c r="D443" s="24"/>
      <c r="E443" s="24"/>
      <c r="F443" s="24"/>
      <c r="G443" s="24"/>
      <c r="H443" s="24"/>
      <c r="I443" s="24"/>
      <c r="J443" s="24"/>
      <c r="K443" s="24"/>
      <c r="L443" s="73"/>
      <c r="M443" s="24"/>
      <c r="N443" s="24"/>
      <c r="O443" s="24"/>
      <c r="P443" s="24"/>
      <c r="Q443" s="24"/>
      <c r="R443" s="24"/>
      <c r="S443" s="24"/>
      <c r="T443" s="24"/>
    </row>
    <row r="444" spans="1:20">
      <c r="A444" s="22"/>
      <c r="B444" s="22"/>
      <c r="C444" s="24"/>
      <c r="D444" s="24"/>
      <c r="E444" s="24"/>
      <c r="F444" s="24"/>
      <c r="G444" s="24"/>
      <c r="H444" s="24"/>
      <c r="I444" s="24"/>
      <c r="J444" s="24"/>
      <c r="K444" s="24"/>
      <c r="L444" s="73"/>
      <c r="M444" s="24"/>
      <c r="N444" s="24"/>
      <c r="O444" s="24"/>
      <c r="P444" s="24"/>
      <c r="Q444" s="24"/>
      <c r="R444" s="24"/>
      <c r="S444" s="24"/>
      <c r="T444" s="24"/>
    </row>
    <row r="445" spans="1:20">
      <c r="A445" s="22"/>
      <c r="B445" s="22"/>
      <c r="C445" s="24"/>
      <c r="D445" s="24"/>
      <c r="E445" s="24"/>
      <c r="F445" s="24"/>
      <c r="G445" s="24"/>
      <c r="H445" s="24"/>
      <c r="I445" s="24"/>
      <c r="J445" s="24"/>
      <c r="K445" s="24"/>
      <c r="L445" s="73"/>
      <c r="M445" s="24"/>
      <c r="N445" s="24"/>
      <c r="O445" s="24"/>
      <c r="P445" s="24"/>
      <c r="Q445" s="24"/>
      <c r="R445" s="24"/>
      <c r="S445" s="24"/>
      <c r="T445" s="24"/>
    </row>
    <row r="446" spans="1:20">
      <c r="A446" s="22"/>
      <c r="B446" s="22"/>
      <c r="C446" s="24"/>
      <c r="D446" s="24"/>
      <c r="E446" s="24"/>
      <c r="F446" s="24"/>
      <c r="G446" s="24"/>
      <c r="H446" s="24"/>
      <c r="I446" s="24"/>
      <c r="J446" s="24"/>
      <c r="K446" s="24"/>
      <c r="L446" s="73"/>
      <c r="M446" s="24"/>
      <c r="N446" s="24"/>
      <c r="O446" s="24"/>
      <c r="P446" s="24"/>
      <c r="Q446" s="24"/>
      <c r="R446" s="24"/>
      <c r="S446" s="24"/>
      <c r="T446" s="24"/>
    </row>
    <row r="447" spans="1:20">
      <c r="A447" s="22"/>
      <c r="B447" s="22"/>
      <c r="C447" s="24"/>
      <c r="D447" s="24"/>
      <c r="E447" s="24"/>
      <c r="F447" s="24"/>
      <c r="G447" s="24"/>
      <c r="H447" s="24"/>
      <c r="I447" s="24"/>
      <c r="J447" s="24"/>
      <c r="K447" s="24"/>
      <c r="L447" s="73"/>
      <c r="M447" s="24"/>
      <c r="N447" s="24"/>
      <c r="O447" s="24"/>
      <c r="P447" s="24"/>
      <c r="Q447" s="24"/>
      <c r="R447" s="24"/>
      <c r="S447" s="24"/>
      <c r="T447" s="24"/>
    </row>
    <row r="448" spans="1:20">
      <c r="A448" s="22"/>
      <c r="B448" s="22"/>
      <c r="C448" s="24"/>
      <c r="D448" s="24"/>
      <c r="E448" s="24"/>
      <c r="F448" s="24"/>
      <c r="G448" s="24"/>
      <c r="H448" s="24"/>
      <c r="I448" s="24"/>
      <c r="J448" s="24"/>
      <c r="K448" s="24"/>
      <c r="L448" s="73"/>
      <c r="M448" s="24"/>
      <c r="N448" s="24"/>
      <c r="O448" s="24"/>
      <c r="P448" s="24"/>
      <c r="Q448" s="24"/>
      <c r="R448" s="24"/>
      <c r="S448" s="24"/>
      <c r="T448" s="24"/>
    </row>
    <row r="449" spans="1:20">
      <c r="A449" s="22"/>
      <c r="B449" s="22"/>
      <c r="C449" s="24"/>
      <c r="D449" s="24"/>
      <c r="E449" s="24"/>
      <c r="F449" s="24"/>
      <c r="G449" s="24"/>
      <c r="H449" s="24"/>
      <c r="I449" s="24"/>
      <c r="J449" s="24"/>
      <c r="K449" s="24"/>
      <c r="L449" s="73"/>
      <c r="M449" s="24"/>
      <c r="N449" s="24"/>
      <c r="O449" s="24"/>
      <c r="P449" s="24"/>
      <c r="Q449" s="24"/>
      <c r="R449" s="24"/>
      <c r="S449" s="24"/>
      <c r="T449" s="24"/>
    </row>
    <row r="450" spans="1:20">
      <c r="A450" s="22"/>
      <c r="B450" s="22"/>
      <c r="C450" s="24"/>
      <c r="D450" s="24"/>
      <c r="E450" s="24"/>
      <c r="F450" s="24"/>
      <c r="G450" s="24"/>
      <c r="H450" s="24"/>
      <c r="I450" s="24"/>
      <c r="J450" s="24"/>
      <c r="K450" s="24"/>
      <c r="L450" s="73"/>
      <c r="M450" s="24"/>
      <c r="N450" s="24"/>
      <c r="O450" s="24"/>
      <c r="P450" s="24"/>
      <c r="Q450" s="24"/>
      <c r="R450" s="24"/>
      <c r="S450" s="24"/>
      <c r="T450" s="24"/>
    </row>
    <row r="451" spans="1:20">
      <c r="A451" s="22"/>
      <c r="B451" s="22"/>
      <c r="C451" s="24"/>
      <c r="D451" s="24"/>
      <c r="E451" s="24"/>
      <c r="F451" s="24"/>
      <c r="G451" s="24"/>
      <c r="H451" s="24"/>
      <c r="I451" s="24"/>
      <c r="J451" s="24"/>
      <c r="K451" s="24"/>
      <c r="L451" s="73"/>
      <c r="M451" s="24"/>
      <c r="N451" s="24"/>
      <c r="O451" s="24"/>
      <c r="P451" s="24"/>
      <c r="Q451" s="24"/>
      <c r="R451" s="24"/>
      <c r="S451" s="24"/>
      <c r="T451" s="24"/>
    </row>
    <row r="452" spans="1:20">
      <c r="A452" s="22"/>
      <c r="B452" s="22"/>
      <c r="C452" s="24"/>
      <c r="D452" s="24"/>
      <c r="E452" s="24"/>
      <c r="F452" s="24"/>
      <c r="G452" s="24"/>
      <c r="H452" s="24"/>
      <c r="I452" s="24"/>
      <c r="J452" s="24"/>
      <c r="K452" s="24"/>
      <c r="L452" s="73"/>
      <c r="M452" s="24"/>
      <c r="N452" s="24"/>
      <c r="O452" s="24"/>
      <c r="P452" s="24"/>
      <c r="Q452" s="24"/>
      <c r="R452" s="24"/>
      <c r="S452" s="24"/>
      <c r="T452" s="24"/>
    </row>
    <row r="453" spans="1:20">
      <c r="A453" s="22"/>
      <c r="B453" s="22"/>
      <c r="C453" s="24"/>
      <c r="D453" s="24"/>
      <c r="E453" s="24"/>
      <c r="F453" s="24"/>
      <c r="G453" s="24"/>
      <c r="H453" s="24"/>
      <c r="I453" s="24"/>
      <c r="J453" s="24"/>
      <c r="K453" s="24"/>
      <c r="L453" s="73"/>
      <c r="M453" s="24"/>
      <c r="N453" s="24"/>
      <c r="O453" s="24"/>
      <c r="P453" s="24"/>
      <c r="Q453" s="24"/>
      <c r="R453" s="24"/>
      <c r="S453" s="24"/>
      <c r="T453" s="24"/>
    </row>
    <row r="454" spans="1:20">
      <c r="A454" s="22"/>
      <c r="B454" s="22"/>
      <c r="C454" s="24"/>
      <c r="D454" s="24"/>
      <c r="E454" s="24"/>
      <c r="F454" s="24"/>
      <c r="G454" s="24"/>
      <c r="H454" s="24"/>
      <c r="I454" s="24"/>
      <c r="J454" s="24"/>
      <c r="K454" s="24"/>
      <c r="L454" s="73"/>
      <c r="M454" s="24"/>
      <c r="N454" s="24"/>
      <c r="O454" s="24"/>
      <c r="P454" s="24"/>
      <c r="Q454" s="24"/>
      <c r="R454" s="24"/>
      <c r="S454" s="24"/>
      <c r="T454" s="24"/>
    </row>
    <row r="455" spans="1:20">
      <c r="A455" s="22"/>
      <c r="B455" s="22"/>
      <c r="C455" s="24"/>
      <c r="D455" s="24"/>
      <c r="E455" s="24"/>
      <c r="F455" s="24"/>
      <c r="G455" s="24"/>
      <c r="H455" s="24"/>
      <c r="I455" s="24"/>
      <c r="J455" s="24"/>
      <c r="K455" s="24"/>
      <c r="L455" s="73"/>
      <c r="M455" s="24"/>
      <c r="N455" s="24"/>
      <c r="O455" s="24"/>
      <c r="P455" s="24"/>
      <c r="Q455" s="24"/>
      <c r="R455" s="24"/>
      <c r="S455" s="24"/>
      <c r="T455" s="24"/>
    </row>
    <row r="456" spans="1:20">
      <c r="A456" s="22"/>
      <c r="B456" s="22"/>
      <c r="C456" s="24"/>
      <c r="D456" s="24"/>
      <c r="E456" s="24"/>
      <c r="F456" s="24"/>
      <c r="G456" s="24"/>
      <c r="H456" s="24"/>
      <c r="I456" s="24"/>
      <c r="J456" s="24"/>
      <c r="K456" s="24"/>
      <c r="L456" s="73"/>
      <c r="M456" s="24"/>
      <c r="N456" s="24"/>
      <c r="O456" s="24"/>
      <c r="P456" s="24"/>
      <c r="Q456" s="24"/>
      <c r="R456" s="24"/>
      <c r="S456" s="24"/>
      <c r="T456" s="24"/>
    </row>
    <row r="457" spans="1:20">
      <c r="A457" s="22"/>
      <c r="B457" s="22"/>
      <c r="C457" s="24"/>
      <c r="D457" s="24"/>
      <c r="E457" s="24"/>
      <c r="F457" s="24"/>
      <c r="G457" s="24"/>
      <c r="H457" s="24"/>
      <c r="I457" s="24"/>
      <c r="J457" s="24"/>
      <c r="K457" s="24"/>
      <c r="L457" s="73"/>
      <c r="M457" s="24"/>
      <c r="N457" s="24"/>
      <c r="O457" s="24"/>
      <c r="P457" s="24"/>
      <c r="Q457" s="24"/>
      <c r="R457" s="24"/>
      <c r="S457" s="24"/>
      <c r="T457" s="24"/>
    </row>
    <row r="458" spans="1:20">
      <c r="A458" s="22"/>
      <c r="B458" s="22"/>
      <c r="C458" s="24"/>
      <c r="D458" s="24"/>
      <c r="E458" s="24"/>
      <c r="F458" s="24"/>
      <c r="G458" s="24"/>
      <c r="H458" s="24"/>
      <c r="I458" s="24"/>
      <c r="J458" s="24"/>
      <c r="K458" s="24"/>
      <c r="L458" s="73"/>
      <c r="M458" s="24"/>
      <c r="N458" s="24"/>
      <c r="O458" s="24"/>
      <c r="P458" s="24"/>
      <c r="Q458" s="24"/>
      <c r="R458" s="24"/>
      <c r="S458" s="24"/>
      <c r="T458" s="24"/>
    </row>
    <row r="459" spans="1:20">
      <c r="A459" s="22"/>
      <c r="B459" s="22"/>
      <c r="C459" s="24"/>
      <c r="D459" s="24"/>
      <c r="E459" s="24"/>
      <c r="F459" s="24"/>
      <c r="G459" s="24"/>
      <c r="H459" s="24"/>
      <c r="I459" s="24"/>
      <c r="J459" s="24"/>
      <c r="K459" s="24"/>
      <c r="L459" s="73"/>
      <c r="M459" s="24"/>
      <c r="N459" s="24"/>
      <c r="O459" s="24"/>
      <c r="P459" s="24"/>
      <c r="Q459" s="24"/>
      <c r="R459" s="24"/>
      <c r="S459" s="24"/>
      <c r="T459" s="24"/>
    </row>
    <row r="460" spans="1:20">
      <c r="A460" s="22"/>
      <c r="B460" s="22"/>
      <c r="C460" s="24"/>
      <c r="D460" s="24"/>
      <c r="E460" s="24"/>
      <c r="F460" s="24"/>
      <c r="G460" s="24"/>
      <c r="H460" s="24"/>
      <c r="I460" s="24"/>
      <c r="J460" s="24"/>
      <c r="K460" s="24"/>
      <c r="L460" s="73"/>
      <c r="M460" s="24"/>
      <c r="N460" s="24"/>
      <c r="O460" s="24"/>
      <c r="P460" s="24"/>
      <c r="Q460" s="24"/>
      <c r="R460" s="24"/>
      <c r="S460" s="24"/>
      <c r="T460" s="24"/>
    </row>
    <row r="461" spans="1:20">
      <c r="A461" s="22"/>
      <c r="B461" s="22"/>
      <c r="C461" s="24"/>
      <c r="D461" s="24"/>
      <c r="E461" s="24"/>
      <c r="F461" s="24"/>
      <c r="G461" s="24"/>
      <c r="H461" s="24"/>
      <c r="I461" s="24"/>
      <c r="J461" s="24"/>
      <c r="K461" s="24"/>
      <c r="L461" s="73"/>
      <c r="M461" s="24"/>
      <c r="N461" s="24"/>
      <c r="O461" s="24"/>
      <c r="P461" s="24"/>
      <c r="Q461" s="24"/>
      <c r="R461" s="24"/>
      <c r="S461" s="24"/>
      <c r="T461" s="24"/>
    </row>
    <row r="462" spans="1:20">
      <c r="A462" s="22"/>
      <c r="B462" s="22"/>
      <c r="C462" s="24"/>
      <c r="D462" s="24"/>
      <c r="E462" s="24"/>
      <c r="F462" s="24"/>
      <c r="G462" s="24"/>
      <c r="H462" s="24"/>
      <c r="I462" s="24"/>
      <c r="J462" s="24"/>
      <c r="K462" s="24"/>
      <c r="L462" s="73"/>
      <c r="M462" s="24"/>
      <c r="N462" s="24"/>
      <c r="O462" s="24"/>
      <c r="P462" s="24"/>
      <c r="Q462" s="24"/>
      <c r="R462" s="24"/>
      <c r="S462" s="24"/>
      <c r="T462" s="24"/>
    </row>
    <row r="463" spans="1:20">
      <c r="A463" s="22"/>
      <c r="B463" s="22"/>
      <c r="C463" s="24"/>
      <c r="D463" s="24"/>
      <c r="E463" s="24"/>
      <c r="F463" s="24"/>
      <c r="G463" s="24"/>
      <c r="H463" s="24"/>
      <c r="I463" s="24"/>
      <c r="J463" s="24"/>
      <c r="K463" s="24"/>
      <c r="L463" s="73"/>
      <c r="M463" s="24"/>
      <c r="N463" s="24"/>
      <c r="O463" s="24"/>
      <c r="P463" s="24"/>
      <c r="Q463" s="24"/>
      <c r="R463" s="24"/>
      <c r="S463" s="24"/>
      <c r="T463" s="24"/>
    </row>
    <row r="464" spans="1:20">
      <c r="A464" s="22"/>
      <c r="B464" s="22"/>
      <c r="C464" s="24"/>
      <c r="D464" s="24"/>
      <c r="E464" s="24"/>
      <c r="F464" s="24"/>
      <c r="G464" s="24"/>
      <c r="H464" s="24"/>
      <c r="I464" s="24"/>
      <c r="J464" s="24"/>
      <c r="K464" s="24"/>
      <c r="L464" s="73"/>
      <c r="M464" s="24"/>
      <c r="N464" s="24"/>
      <c r="O464" s="24"/>
      <c r="P464" s="24"/>
      <c r="Q464" s="24"/>
      <c r="R464" s="24"/>
      <c r="S464" s="24"/>
      <c r="T464" s="24"/>
    </row>
    <row r="465" spans="1:20">
      <c r="A465" s="22"/>
      <c r="B465" s="22"/>
      <c r="C465" s="24"/>
      <c r="D465" s="24"/>
      <c r="E465" s="24"/>
      <c r="F465" s="24"/>
      <c r="G465" s="24"/>
      <c r="H465" s="24"/>
      <c r="I465" s="24"/>
      <c r="J465" s="24"/>
      <c r="K465" s="24"/>
      <c r="L465" s="73"/>
      <c r="M465" s="24"/>
      <c r="N465" s="24"/>
      <c r="O465" s="24"/>
      <c r="P465" s="24"/>
      <c r="Q465" s="24"/>
      <c r="R465" s="24"/>
      <c r="S465" s="24"/>
      <c r="T465" s="24"/>
    </row>
    <row r="466" spans="1:20">
      <c r="A466" s="22"/>
      <c r="B466" s="22"/>
      <c r="C466" s="24"/>
      <c r="D466" s="24"/>
      <c r="E466" s="24"/>
      <c r="F466" s="24"/>
      <c r="G466" s="24"/>
      <c r="H466" s="24"/>
      <c r="I466" s="24"/>
      <c r="J466" s="24"/>
      <c r="K466" s="24"/>
      <c r="L466" s="73"/>
      <c r="M466" s="24"/>
      <c r="N466" s="24"/>
      <c r="O466" s="24"/>
      <c r="P466" s="24"/>
      <c r="Q466" s="24"/>
      <c r="R466" s="24"/>
      <c r="S466" s="24"/>
      <c r="T466" s="24"/>
    </row>
    <row r="467" spans="1:20">
      <c r="A467" s="22"/>
      <c r="B467" s="22"/>
      <c r="C467" s="24"/>
      <c r="D467" s="24"/>
      <c r="E467" s="24"/>
      <c r="F467" s="24"/>
      <c r="G467" s="24"/>
      <c r="H467" s="24"/>
      <c r="I467" s="24"/>
      <c r="J467" s="24"/>
      <c r="K467" s="24"/>
      <c r="L467" s="73"/>
      <c r="M467" s="24"/>
      <c r="N467" s="24"/>
      <c r="O467" s="24"/>
      <c r="P467" s="24"/>
      <c r="Q467" s="24"/>
      <c r="R467" s="24"/>
      <c r="S467" s="24"/>
      <c r="T467" s="24"/>
    </row>
    <row r="468" spans="1:20">
      <c r="A468" s="22"/>
      <c r="B468" s="22"/>
      <c r="C468" s="24"/>
      <c r="D468" s="24"/>
      <c r="E468" s="24"/>
      <c r="F468" s="24"/>
      <c r="G468" s="24"/>
      <c r="H468" s="24"/>
      <c r="I468" s="24"/>
      <c r="J468" s="24"/>
      <c r="K468" s="24"/>
      <c r="L468" s="73"/>
      <c r="M468" s="24"/>
      <c r="N468" s="24"/>
      <c r="O468" s="24"/>
      <c r="P468" s="24"/>
      <c r="Q468" s="24"/>
      <c r="R468" s="24"/>
      <c r="S468" s="24"/>
      <c r="T468" s="24"/>
    </row>
    <row r="469" spans="1:20">
      <c r="A469" s="22"/>
      <c r="B469" s="22"/>
      <c r="C469" s="24"/>
      <c r="D469" s="24"/>
      <c r="E469" s="24"/>
      <c r="F469" s="24"/>
      <c r="G469" s="24"/>
      <c r="H469" s="24"/>
      <c r="I469" s="24"/>
      <c r="J469" s="24"/>
      <c r="K469" s="24"/>
      <c r="L469" s="73"/>
      <c r="M469" s="24"/>
      <c r="N469" s="24"/>
      <c r="O469" s="24"/>
      <c r="P469" s="24"/>
      <c r="Q469" s="24"/>
      <c r="R469" s="24"/>
      <c r="S469" s="24"/>
      <c r="T469" s="24"/>
    </row>
    <row r="470" spans="1:20">
      <c r="A470" s="22"/>
      <c r="B470" s="22"/>
      <c r="C470" s="24"/>
      <c r="D470" s="24"/>
      <c r="E470" s="24"/>
      <c r="F470" s="24"/>
      <c r="G470" s="24"/>
      <c r="H470" s="24"/>
      <c r="I470" s="24"/>
      <c r="J470" s="24"/>
      <c r="K470" s="24"/>
      <c r="L470" s="73"/>
      <c r="M470" s="24"/>
      <c r="N470" s="24"/>
      <c r="O470" s="24"/>
      <c r="P470" s="24"/>
      <c r="Q470" s="24"/>
      <c r="R470" s="24"/>
      <c r="S470" s="24"/>
      <c r="T470" s="24"/>
    </row>
    <row r="471" spans="1:20">
      <c r="A471" s="22"/>
      <c r="B471" s="22"/>
      <c r="C471" s="24"/>
      <c r="D471" s="24"/>
      <c r="E471" s="24"/>
      <c r="F471" s="24"/>
      <c r="G471" s="24"/>
      <c r="H471" s="24"/>
      <c r="I471" s="24"/>
      <c r="J471" s="24"/>
      <c r="K471" s="24"/>
      <c r="L471" s="73"/>
      <c r="M471" s="24"/>
      <c r="N471" s="24"/>
      <c r="O471" s="24"/>
      <c r="P471" s="24"/>
      <c r="Q471" s="24"/>
      <c r="R471" s="24"/>
      <c r="S471" s="24"/>
      <c r="T471" s="24"/>
    </row>
    <row r="472" spans="1:20">
      <c r="A472" s="22"/>
      <c r="B472" s="22"/>
      <c r="C472" s="24"/>
      <c r="D472" s="24"/>
      <c r="E472" s="24"/>
      <c r="F472" s="24"/>
      <c r="G472" s="24"/>
      <c r="H472" s="24"/>
      <c r="I472" s="24"/>
      <c r="J472" s="24"/>
      <c r="K472" s="24"/>
      <c r="L472" s="73"/>
      <c r="M472" s="24"/>
      <c r="N472" s="24"/>
      <c r="O472" s="24"/>
      <c r="P472" s="24"/>
      <c r="Q472" s="24"/>
      <c r="R472" s="24"/>
      <c r="S472" s="24"/>
      <c r="T472" s="24"/>
    </row>
    <row r="473" spans="1:20">
      <c r="A473" s="22"/>
      <c r="B473" s="22"/>
      <c r="C473" s="24"/>
      <c r="D473" s="24"/>
      <c r="E473" s="24"/>
      <c r="F473" s="24"/>
      <c r="G473" s="24"/>
      <c r="H473" s="24"/>
      <c r="I473" s="24"/>
      <c r="J473" s="24"/>
      <c r="K473" s="24"/>
      <c r="L473" s="73"/>
      <c r="M473" s="24"/>
      <c r="N473" s="24"/>
      <c r="O473" s="24"/>
      <c r="P473" s="24"/>
      <c r="Q473" s="24"/>
      <c r="R473" s="24"/>
      <c r="S473" s="24"/>
      <c r="T473" s="24"/>
    </row>
    <row r="474" spans="1:20">
      <c r="A474" s="22"/>
      <c r="B474" s="22"/>
      <c r="C474" s="24"/>
      <c r="D474" s="24"/>
      <c r="E474" s="24"/>
      <c r="F474" s="24"/>
      <c r="G474" s="24"/>
      <c r="H474" s="24"/>
      <c r="I474" s="24"/>
      <c r="J474" s="24"/>
      <c r="K474" s="24"/>
      <c r="L474" s="73"/>
      <c r="M474" s="24"/>
      <c r="N474" s="24"/>
      <c r="O474" s="24"/>
      <c r="P474" s="24"/>
      <c r="Q474" s="24"/>
      <c r="R474" s="24"/>
      <c r="S474" s="24"/>
      <c r="T474" s="24"/>
    </row>
    <row r="475" spans="1:20">
      <c r="A475" s="22"/>
      <c r="B475" s="22"/>
      <c r="C475" s="24"/>
      <c r="D475" s="24"/>
      <c r="E475" s="24"/>
      <c r="F475" s="24"/>
      <c r="G475" s="24"/>
      <c r="H475" s="24"/>
      <c r="I475" s="24"/>
      <c r="J475" s="24"/>
      <c r="K475" s="24"/>
      <c r="L475" s="73"/>
      <c r="M475" s="24"/>
      <c r="N475" s="24"/>
      <c r="O475" s="24"/>
      <c r="P475" s="24"/>
      <c r="Q475" s="24"/>
      <c r="R475" s="24"/>
      <c r="S475" s="24"/>
      <c r="T475" s="24"/>
    </row>
    <row r="476" spans="1:20">
      <c r="A476" s="22"/>
      <c r="B476" s="22"/>
      <c r="C476" s="24"/>
      <c r="D476" s="24"/>
      <c r="E476" s="24"/>
      <c r="F476" s="24"/>
      <c r="G476" s="24"/>
      <c r="H476" s="24"/>
      <c r="I476" s="24"/>
      <c r="J476" s="24"/>
      <c r="K476" s="24"/>
      <c r="L476" s="73"/>
      <c r="M476" s="24"/>
      <c r="N476" s="24"/>
      <c r="O476" s="24"/>
      <c r="P476" s="24"/>
      <c r="Q476" s="24"/>
      <c r="R476" s="24"/>
      <c r="S476" s="24"/>
      <c r="T476" s="24"/>
    </row>
    <row r="477" spans="1:20">
      <c r="A477" s="22"/>
      <c r="B477" s="22"/>
      <c r="C477" s="24"/>
      <c r="D477" s="24"/>
      <c r="E477" s="24"/>
      <c r="F477" s="24"/>
      <c r="G477" s="24"/>
      <c r="H477" s="24"/>
      <c r="I477" s="24"/>
      <c r="J477" s="24"/>
      <c r="K477" s="24"/>
      <c r="L477" s="73"/>
      <c r="M477" s="24"/>
      <c r="N477" s="24"/>
      <c r="O477" s="24"/>
      <c r="P477" s="24"/>
      <c r="Q477" s="24"/>
      <c r="R477" s="24"/>
      <c r="S477" s="24"/>
      <c r="T477" s="24"/>
    </row>
    <row r="478" spans="1:20">
      <c r="A478" s="22"/>
      <c r="B478" s="22"/>
      <c r="C478" s="24"/>
      <c r="D478" s="24"/>
      <c r="E478" s="24"/>
      <c r="F478" s="24"/>
      <c r="G478" s="24"/>
      <c r="H478" s="24"/>
      <c r="I478" s="24"/>
      <c r="J478" s="24"/>
      <c r="K478" s="24"/>
      <c r="L478" s="73"/>
      <c r="M478" s="24"/>
      <c r="N478" s="24"/>
      <c r="O478" s="24"/>
      <c r="P478" s="24"/>
      <c r="Q478" s="24"/>
      <c r="R478" s="24"/>
      <c r="S478" s="24"/>
      <c r="T478" s="24"/>
    </row>
    <row r="479" spans="1:20">
      <c r="A479" s="22"/>
      <c r="B479" s="22"/>
      <c r="C479" s="24"/>
      <c r="D479" s="24"/>
      <c r="E479" s="24"/>
      <c r="F479" s="24"/>
      <c r="G479" s="24"/>
      <c r="H479" s="24"/>
      <c r="I479" s="24"/>
      <c r="J479" s="24"/>
      <c r="K479" s="24"/>
      <c r="L479" s="73"/>
      <c r="M479" s="24"/>
      <c r="N479" s="24"/>
      <c r="O479" s="24"/>
      <c r="P479" s="24"/>
      <c r="Q479" s="24"/>
      <c r="R479" s="24"/>
      <c r="S479" s="24"/>
      <c r="T479" s="24"/>
    </row>
    <row r="480" spans="1:20">
      <c r="A480" s="22"/>
      <c r="B480" s="22"/>
      <c r="C480" s="24"/>
      <c r="D480" s="24"/>
      <c r="E480" s="24"/>
      <c r="F480" s="24"/>
      <c r="G480" s="24"/>
      <c r="H480" s="24"/>
      <c r="I480" s="24"/>
      <c r="J480" s="24"/>
      <c r="K480" s="24"/>
      <c r="L480" s="73"/>
      <c r="M480" s="24"/>
      <c r="N480" s="24"/>
      <c r="O480" s="24"/>
      <c r="P480" s="24"/>
      <c r="Q480" s="24"/>
      <c r="R480" s="24"/>
      <c r="S480" s="24"/>
      <c r="T480" s="24"/>
    </row>
    <row r="481" spans="1:20">
      <c r="A481" s="22"/>
      <c r="B481" s="22"/>
      <c r="C481" s="24"/>
      <c r="D481" s="24"/>
      <c r="E481" s="24"/>
      <c r="F481" s="24"/>
      <c r="G481" s="24"/>
      <c r="H481" s="24"/>
      <c r="I481" s="24"/>
      <c r="J481" s="24"/>
      <c r="K481" s="24"/>
      <c r="L481" s="73"/>
      <c r="M481" s="24"/>
      <c r="N481" s="24"/>
      <c r="O481" s="24"/>
      <c r="P481" s="24"/>
      <c r="Q481" s="24"/>
      <c r="R481" s="24"/>
      <c r="S481" s="24"/>
      <c r="T481" s="24"/>
    </row>
    <row r="482" spans="1:20">
      <c r="A482" s="22"/>
      <c r="B482" s="22"/>
      <c r="C482" s="24"/>
      <c r="D482" s="24"/>
      <c r="E482" s="24"/>
      <c r="F482" s="24"/>
      <c r="G482" s="24"/>
      <c r="H482" s="24"/>
      <c r="I482" s="24"/>
      <c r="J482" s="24"/>
      <c r="K482" s="24"/>
      <c r="L482" s="73"/>
      <c r="M482" s="24"/>
      <c r="N482" s="24"/>
      <c r="O482" s="24"/>
      <c r="P482" s="24"/>
      <c r="Q482" s="24"/>
      <c r="R482" s="24"/>
      <c r="S482" s="24"/>
      <c r="T482" s="24"/>
    </row>
    <row r="483" spans="1:20">
      <c r="A483" s="22"/>
      <c r="B483" s="22"/>
      <c r="C483" s="24"/>
      <c r="D483" s="24"/>
      <c r="E483" s="24"/>
      <c r="F483" s="24"/>
      <c r="G483" s="24"/>
      <c r="H483" s="24"/>
      <c r="I483" s="24"/>
      <c r="J483" s="24"/>
      <c r="K483" s="24"/>
      <c r="L483" s="73"/>
      <c r="M483" s="24"/>
      <c r="N483" s="24"/>
      <c r="O483" s="24"/>
      <c r="P483" s="24"/>
      <c r="Q483" s="24"/>
      <c r="R483" s="24"/>
      <c r="S483" s="24"/>
      <c r="T483" s="24"/>
    </row>
    <row r="484" spans="1:20">
      <c r="A484" s="22"/>
      <c r="B484" s="22"/>
      <c r="C484" s="24"/>
      <c r="D484" s="24"/>
      <c r="E484" s="24"/>
      <c r="F484" s="24"/>
      <c r="G484" s="24"/>
      <c r="H484" s="24"/>
      <c r="I484" s="24"/>
      <c r="J484" s="24"/>
      <c r="K484" s="24"/>
      <c r="L484" s="73"/>
      <c r="M484" s="24"/>
      <c r="N484" s="24"/>
      <c r="O484" s="24"/>
      <c r="P484" s="24"/>
      <c r="Q484" s="24"/>
      <c r="R484" s="24"/>
      <c r="S484" s="24"/>
      <c r="T484" s="24"/>
    </row>
    <row r="485" spans="1:20">
      <c r="A485" s="22"/>
      <c r="B485" s="22"/>
      <c r="C485" s="24"/>
      <c r="D485" s="24"/>
      <c r="E485" s="24"/>
      <c r="F485" s="24"/>
      <c r="G485" s="24"/>
      <c r="H485" s="24"/>
      <c r="I485" s="24"/>
      <c r="J485" s="24"/>
      <c r="K485" s="24"/>
      <c r="L485" s="73"/>
      <c r="M485" s="24"/>
      <c r="N485" s="24"/>
      <c r="O485" s="24"/>
      <c r="P485" s="24"/>
      <c r="Q485" s="24"/>
      <c r="R485" s="24"/>
      <c r="S485" s="24"/>
      <c r="T485" s="24"/>
    </row>
    <row r="486" spans="1:20">
      <c r="A486" s="22"/>
      <c r="B486" s="22"/>
      <c r="C486" s="24"/>
      <c r="D486" s="24"/>
      <c r="E486" s="24"/>
      <c r="F486" s="24"/>
      <c r="G486" s="24"/>
      <c r="H486" s="24"/>
      <c r="I486" s="24"/>
      <c r="J486" s="24"/>
      <c r="K486" s="24"/>
      <c r="L486" s="73"/>
      <c r="M486" s="24"/>
      <c r="N486" s="24"/>
      <c r="O486" s="24"/>
      <c r="P486" s="24"/>
      <c r="Q486" s="24"/>
      <c r="R486" s="24"/>
      <c r="S486" s="24"/>
      <c r="T486" s="24"/>
    </row>
    <row r="487" spans="1:20">
      <c r="A487" s="22"/>
      <c r="B487" s="22"/>
      <c r="C487" s="24"/>
      <c r="D487" s="24"/>
      <c r="E487" s="24"/>
      <c r="F487" s="24"/>
      <c r="G487" s="24"/>
      <c r="H487" s="24"/>
      <c r="I487" s="24"/>
      <c r="J487" s="24"/>
      <c r="K487" s="24"/>
      <c r="L487" s="73"/>
      <c r="M487" s="24"/>
      <c r="N487" s="24"/>
      <c r="O487" s="24"/>
      <c r="P487" s="24"/>
      <c r="Q487" s="24"/>
      <c r="R487" s="24"/>
      <c r="S487" s="24"/>
      <c r="T487" s="24"/>
    </row>
    <row r="488" spans="1:20">
      <c r="A488" s="22"/>
      <c r="B488" s="22"/>
      <c r="C488" s="24"/>
      <c r="D488" s="24"/>
      <c r="E488" s="24"/>
      <c r="F488" s="24"/>
      <c r="G488" s="24"/>
      <c r="H488" s="24"/>
      <c r="I488" s="24"/>
      <c r="J488" s="24"/>
      <c r="K488" s="24"/>
      <c r="L488" s="73"/>
      <c r="M488" s="24"/>
      <c r="N488" s="24"/>
      <c r="O488" s="24"/>
      <c r="P488" s="24"/>
      <c r="Q488" s="24"/>
      <c r="R488" s="24"/>
      <c r="S488" s="24"/>
      <c r="T488" s="24"/>
    </row>
    <row r="489" spans="1:20">
      <c r="A489" s="22"/>
      <c r="B489" s="22"/>
      <c r="C489" s="24"/>
      <c r="D489" s="24"/>
      <c r="E489" s="24"/>
      <c r="F489" s="24"/>
      <c r="G489" s="24"/>
      <c r="H489" s="24"/>
      <c r="I489" s="24"/>
      <c r="J489" s="24"/>
      <c r="K489" s="24"/>
      <c r="L489" s="73"/>
      <c r="M489" s="24"/>
      <c r="N489" s="24"/>
      <c r="O489" s="24"/>
      <c r="P489" s="24"/>
      <c r="Q489" s="24"/>
      <c r="R489" s="24"/>
      <c r="S489" s="24"/>
      <c r="T489" s="24"/>
    </row>
    <row r="490" spans="1:20">
      <c r="A490" s="22"/>
      <c r="B490" s="22"/>
      <c r="C490" s="24"/>
      <c r="D490" s="24"/>
      <c r="E490" s="24"/>
      <c r="F490" s="24"/>
      <c r="G490" s="24"/>
      <c r="H490" s="24"/>
      <c r="I490" s="24"/>
      <c r="J490" s="24"/>
      <c r="K490" s="24"/>
      <c r="L490" s="73"/>
      <c r="M490" s="24"/>
      <c r="N490" s="24"/>
      <c r="O490" s="24"/>
      <c r="P490" s="24"/>
      <c r="Q490" s="24"/>
      <c r="R490" s="24"/>
      <c r="S490" s="24"/>
      <c r="T490" s="24"/>
    </row>
    <row r="491" spans="1:20">
      <c r="A491" s="22"/>
      <c r="B491" s="22"/>
      <c r="C491" s="24"/>
      <c r="D491" s="24"/>
      <c r="E491" s="24"/>
      <c r="F491" s="24"/>
      <c r="G491" s="24"/>
      <c r="H491" s="24"/>
      <c r="I491" s="24"/>
      <c r="J491" s="24"/>
      <c r="K491" s="24"/>
      <c r="L491" s="73"/>
      <c r="M491" s="24"/>
      <c r="N491" s="24"/>
      <c r="O491" s="24"/>
      <c r="P491" s="24"/>
      <c r="Q491" s="24"/>
      <c r="R491" s="24"/>
      <c r="S491" s="24"/>
      <c r="T491" s="24"/>
    </row>
    <row r="492" spans="1:20">
      <c r="A492" s="22"/>
      <c r="B492" s="22"/>
      <c r="C492" s="24"/>
      <c r="D492" s="24"/>
      <c r="E492" s="24"/>
      <c r="F492" s="24"/>
      <c r="G492" s="24"/>
      <c r="H492" s="24"/>
      <c r="I492" s="24"/>
      <c r="J492" s="24"/>
      <c r="K492" s="24"/>
      <c r="L492" s="73"/>
      <c r="M492" s="24"/>
      <c r="N492" s="24"/>
      <c r="O492" s="24"/>
      <c r="P492" s="24"/>
      <c r="Q492" s="24"/>
      <c r="R492" s="24"/>
      <c r="S492" s="24"/>
      <c r="T492" s="24"/>
    </row>
    <row r="493" spans="1:20">
      <c r="A493" s="22"/>
      <c r="B493" s="22"/>
      <c r="C493" s="24"/>
      <c r="D493" s="24"/>
      <c r="E493" s="24"/>
      <c r="F493" s="24"/>
      <c r="G493" s="24"/>
      <c r="H493" s="24"/>
      <c r="I493" s="24"/>
      <c r="J493" s="24"/>
      <c r="K493" s="24"/>
      <c r="L493" s="73"/>
      <c r="M493" s="24"/>
      <c r="N493" s="24"/>
      <c r="O493" s="24"/>
      <c r="P493" s="24"/>
      <c r="Q493" s="24"/>
      <c r="R493" s="24"/>
      <c r="S493" s="24"/>
      <c r="T493" s="24"/>
    </row>
    <row r="494" spans="1:20">
      <c r="A494" s="22"/>
      <c r="B494" s="22"/>
      <c r="C494" s="24"/>
      <c r="D494" s="24"/>
      <c r="E494" s="24"/>
      <c r="F494" s="24"/>
      <c r="G494" s="24"/>
      <c r="H494" s="24"/>
      <c r="I494" s="24"/>
      <c r="J494" s="24"/>
      <c r="K494" s="24"/>
      <c r="L494" s="73"/>
      <c r="M494" s="24"/>
      <c r="N494" s="24"/>
      <c r="O494" s="24"/>
      <c r="P494" s="24"/>
      <c r="Q494" s="24"/>
      <c r="R494" s="24"/>
      <c r="S494" s="24"/>
      <c r="T494" s="24"/>
    </row>
    <row r="495" spans="1:20">
      <c r="A495" s="22"/>
      <c r="B495" s="22"/>
      <c r="C495" s="24"/>
      <c r="D495" s="24"/>
      <c r="E495" s="24"/>
      <c r="F495" s="24"/>
      <c r="G495" s="24"/>
      <c r="H495" s="24"/>
      <c r="I495" s="24"/>
      <c r="J495" s="24"/>
      <c r="K495" s="24"/>
      <c r="L495" s="73"/>
      <c r="M495" s="24"/>
      <c r="N495" s="24"/>
      <c r="O495" s="24"/>
      <c r="P495" s="24"/>
      <c r="Q495" s="24"/>
      <c r="R495" s="24"/>
      <c r="S495" s="24"/>
      <c r="T495" s="24"/>
    </row>
    <row r="496" spans="1:20">
      <c r="A496" s="22"/>
      <c r="B496" s="22"/>
      <c r="C496" s="24"/>
      <c r="D496" s="24"/>
      <c r="E496" s="24"/>
      <c r="F496" s="24"/>
      <c r="G496" s="24"/>
      <c r="H496" s="24"/>
      <c r="I496" s="24"/>
      <c r="J496" s="24"/>
      <c r="K496" s="24"/>
      <c r="O496" s="24"/>
      <c r="P496" s="24"/>
      <c r="Q496" s="24"/>
      <c r="R496" s="24"/>
      <c r="S496" s="24"/>
      <c r="T496" s="24"/>
    </row>
    <row r="497" spans="1:20">
      <c r="A497" s="22"/>
      <c r="B497" s="22"/>
      <c r="C497" s="24"/>
      <c r="D497" s="24"/>
      <c r="E497" s="24"/>
      <c r="F497" s="24"/>
      <c r="G497" s="24"/>
      <c r="H497" s="24"/>
      <c r="I497" s="24"/>
      <c r="J497" s="24"/>
      <c r="K497" s="24"/>
      <c r="O497" s="24"/>
      <c r="P497" s="24"/>
      <c r="Q497" s="24"/>
      <c r="R497" s="24"/>
      <c r="S497" s="24"/>
      <c r="T497" s="24"/>
    </row>
    <row r="498" spans="1:20">
      <c r="A498" s="22"/>
      <c r="B498" s="22"/>
    </row>
    <row r="499" spans="1:20">
      <c r="A499" s="22"/>
      <c r="B499" s="22"/>
    </row>
    <row r="500" spans="1:20">
      <c r="A500" s="22"/>
      <c r="B500" s="22"/>
    </row>
    <row r="501" spans="1:20">
      <c r="A501" s="22"/>
      <c r="B501" s="22"/>
    </row>
    <row r="502" spans="1:20">
      <c r="A502" s="22"/>
      <c r="B502" s="22"/>
    </row>
    <row r="503" spans="1:20">
      <c r="A503" s="22"/>
      <c r="B503" s="22"/>
    </row>
    <row r="504" spans="1:20">
      <c r="A504" s="22"/>
      <c r="B504" s="22"/>
    </row>
    <row r="505" spans="1:20">
      <c r="A505" s="22"/>
      <c r="B505" s="22"/>
    </row>
    <row r="506" spans="1:20">
      <c r="A506" s="22"/>
      <c r="B506" s="22"/>
    </row>
    <row r="507" spans="1:20">
      <c r="A507" s="22"/>
      <c r="B507" s="22"/>
    </row>
    <row r="508" spans="1:20">
      <c r="A508" s="22"/>
      <c r="B508" s="22"/>
    </row>
    <row r="509" spans="1:20">
      <c r="A509" s="22"/>
      <c r="B509" s="22"/>
    </row>
    <row r="510" spans="1:20">
      <c r="A510" s="22"/>
      <c r="B510" s="22"/>
    </row>
  </sheetData>
  <sheetProtection sheet="1" objects="1" scenarios="1"/>
  <mergeCells count="4">
    <mergeCell ref="K1:N1"/>
    <mergeCell ref="D1:F1"/>
    <mergeCell ref="G1:I1"/>
    <mergeCell ref="K6:N6"/>
  </mergeCells>
  <phoneticPr fontId="0" type="noConversion"/>
  <pageMargins left="0.5" right="0" top="0.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10"/>
  <sheetViews>
    <sheetView tabSelected="1" zoomScale="75" zoomScaleNormal="75" workbookViewId="0">
      <selection activeCell="D23" sqref="D23"/>
    </sheetView>
  </sheetViews>
  <sheetFormatPr baseColWidth="10" defaultColWidth="9.81640625" defaultRowHeight="13.8"/>
  <cols>
    <col min="1" max="1" width="81" style="5" customWidth="1"/>
    <col min="2" max="2" width="1.54296875" style="5" customWidth="1"/>
    <col min="3" max="3" width="11.90625" style="5" customWidth="1"/>
    <col min="4" max="8" width="10.6328125" style="5" customWidth="1"/>
    <col min="9" max="11" width="12.1796875" style="5" customWidth="1"/>
    <col min="12" max="12" width="12.1796875" style="12" customWidth="1"/>
    <col min="13" max="13" width="22.36328125" style="5" customWidth="1"/>
    <col min="14" max="14" width="13.6328125" style="5" bestFit="1" customWidth="1"/>
    <col min="15" max="20" width="12.1796875" style="5" customWidth="1"/>
    <col min="21" max="22" width="7.81640625" style="5" customWidth="1"/>
    <col min="23" max="23" width="10.453125" style="5" customWidth="1"/>
    <col min="24" max="24" width="22.54296875" style="5" bestFit="1" customWidth="1"/>
    <col min="25" max="25" width="12.08984375" style="5" bestFit="1" customWidth="1"/>
    <col min="26" max="26" width="12.453125" style="5" bestFit="1" customWidth="1"/>
    <col min="27" max="28" width="12.08984375" style="5" bestFit="1" customWidth="1"/>
    <col min="29" max="30" width="13.36328125" style="5" bestFit="1" customWidth="1"/>
    <col min="31" max="16384" width="9.81640625" style="5"/>
  </cols>
  <sheetData>
    <row r="1" spans="1:55">
      <c r="A1" s="10"/>
      <c r="B1" s="10"/>
      <c r="C1" s="1" t="s">
        <v>93</v>
      </c>
      <c r="D1" s="137" t="s">
        <v>15</v>
      </c>
      <c r="E1" s="138"/>
      <c r="F1" s="139"/>
      <c r="G1" s="137" t="s">
        <v>0</v>
      </c>
      <c r="H1" s="138"/>
      <c r="I1" s="139"/>
      <c r="J1" s="3"/>
      <c r="K1" s="134" t="s">
        <v>48</v>
      </c>
      <c r="L1" s="135"/>
      <c r="M1" s="135"/>
      <c r="N1" s="136"/>
      <c r="O1" s="4"/>
      <c r="W1" s="6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55" ht="16.5" customHeight="1">
      <c r="A2" s="10"/>
      <c r="B2" s="10"/>
      <c r="C2" s="140" t="s">
        <v>69</v>
      </c>
      <c r="D2" s="1"/>
      <c r="E2" s="1"/>
      <c r="F2" s="1"/>
      <c r="G2" s="1"/>
      <c r="H2" s="1"/>
      <c r="I2" s="1"/>
      <c r="J2" s="3"/>
      <c r="K2" s="101" t="s">
        <v>106</v>
      </c>
      <c r="L2" s="102"/>
      <c r="M2" s="102"/>
      <c r="N2" s="103">
        <v>1</v>
      </c>
      <c r="O2" s="4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5" ht="16.5" customHeight="1">
      <c r="A3" s="10"/>
      <c r="B3" s="10"/>
      <c r="C3" s="10"/>
      <c r="D3" s="1" t="s">
        <v>22</v>
      </c>
      <c r="E3" s="1" t="s">
        <v>23</v>
      </c>
      <c r="F3" s="1" t="s">
        <v>24</v>
      </c>
      <c r="G3" s="1" t="s">
        <v>22</v>
      </c>
      <c r="H3" s="1" t="s">
        <v>23</v>
      </c>
      <c r="I3" s="1" t="s">
        <v>24</v>
      </c>
      <c r="J3" s="3"/>
      <c r="K3" s="104" t="s">
        <v>107</v>
      </c>
      <c r="L3" s="105"/>
      <c r="M3" s="105"/>
      <c r="N3" s="103">
        <v>0.92500000000000004</v>
      </c>
      <c r="O3" s="4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55" ht="16.5" customHeight="1">
      <c r="A4" s="9"/>
      <c r="B4" s="9"/>
      <c r="C4" s="10"/>
      <c r="D4" s="10"/>
      <c r="E4" s="10"/>
      <c r="F4" s="10"/>
      <c r="G4" s="10"/>
      <c r="H4" s="10"/>
      <c r="I4" s="10"/>
      <c r="J4" s="3"/>
      <c r="K4" s="104" t="s">
        <v>108</v>
      </c>
      <c r="L4" s="105"/>
      <c r="M4" s="105"/>
      <c r="N4" s="103">
        <v>0.85</v>
      </c>
      <c r="O4" s="4"/>
      <c r="AC4" s="8"/>
      <c r="AD4" s="8"/>
      <c r="AE4" s="8"/>
      <c r="AF4" s="8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1:55">
      <c r="A5" s="1" t="s">
        <v>70</v>
      </c>
      <c r="B5" s="1"/>
      <c r="C5" s="10"/>
      <c r="D5" s="10">
        <v>80</v>
      </c>
      <c r="E5" s="10">
        <v>160</v>
      </c>
      <c r="F5" s="10">
        <v>240</v>
      </c>
      <c r="G5" s="11">
        <f>5962.2*D5-19679</f>
        <v>457297</v>
      </c>
      <c r="H5" s="11">
        <f>5962.2*E5-19679</f>
        <v>934273</v>
      </c>
      <c r="I5" s="11">
        <f>5962.2*F5-19679</f>
        <v>1411249</v>
      </c>
      <c r="J5" s="3"/>
      <c r="K5" s="101" t="s">
        <v>109</v>
      </c>
      <c r="L5" s="102"/>
      <c r="M5" s="102"/>
      <c r="N5" s="103">
        <v>0.75</v>
      </c>
      <c r="O5" s="4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</row>
    <row r="6" spans="1:55">
      <c r="A6" s="1" t="s">
        <v>17</v>
      </c>
      <c r="B6" s="1"/>
      <c r="C6" s="10">
        <v>7</v>
      </c>
      <c r="D6" s="10">
        <v>1.2</v>
      </c>
      <c r="E6" s="10">
        <v>2.4</v>
      </c>
      <c r="F6" s="10">
        <v>3.6</v>
      </c>
      <c r="G6" s="11"/>
      <c r="H6" s="11"/>
      <c r="I6" s="11"/>
      <c r="K6" s="134" t="s">
        <v>92</v>
      </c>
      <c r="L6" s="135"/>
      <c r="M6" s="135"/>
      <c r="N6" s="136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</row>
    <row r="7" spans="1:55">
      <c r="A7" s="1" t="s">
        <v>18</v>
      </c>
      <c r="B7" s="1"/>
      <c r="C7" s="10">
        <v>7</v>
      </c>
      <c r="D7" s="10">
        <v>4.5</v>
      </c>
      <c r="E7" s="10">
        <v>8.1999999999999993</v>
      </c>
      <c r="F7" s="10">
        <v>10.199999999999999</v>
      </c>
      <c r="G7" s="11">
        <f>IF(D19=0,0,44000)</f>
        <v>44000</v>
      </c>
      <c r="H7" s="11">
        <f>IF(D19=0,0,60000)</f>
        <v>60000</v>
      </c>
      <c r="I7" s="11">
        <f>IF(D19=0,0,65000)</f>
        <v>65000</v>
      </c>
      <c r="K7" s="104" t="s">
        <v>42</v>
      </c>
      <c r="L7" s="105"/>
      <c r="M7" s="105"/>
      <c r="N7" s="103">
        <v>88.91</v>
      </c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</row>
    <row r="8" spans="1:55">
      <c r="A8" s="1" t="s">
        <v>19</v>
      </c>
      <c r="B8" s="1"/>
      <c r="C8" s="10">
        <v>8.5</v>
      </c>
      <c r="D8" s="10">
        <v>4.5</v>
      </c>
      <c r="E8" s="10">
        <v>7</v>
      </c>
      <c r="F8" s="10">
        <v>9</v>
      </c>
      <c r="G8" s="11">
        <f>38620*D8-55914</f>
        <v>117876</v>
      </c>
      <c r="H8" s="11">
        <f t="shared" ref="H8:I8" si="0">38620*E8-55914</f>
        <v>214426</v>
      </c>
      <c r="I8" s="11">
        <f t="shared" si="0"/>
        <v>291666</v>
      </c>
      <c r="K8" s="104" t="s">
        <v>46</v>
      </c>
      <c r="L8" s="105"/>
      <c r="M8" s="105"/>
      <c r="N8" s="103">
        <v>-1.3220000000000001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1:55">
      <c r="A9" s="1" t="s">
        <v>20</v>
      </c>
      <c r="B9" s="1"/>
      <c r="C9" s="10">
        <v>6</v>
      </c>
      <c r="D9" s="10">
        <v>3</v>
      </c>
      <c r="E9" s="10">
        <v>6</v>
      </c>
      <c r="F9" s="10">
        <v>9</v>
      </c>
      <c r="G9" s="11">
        <f t="shared" ref="G9:I9" si="1">168460*D9-122915</f>
        <v>382465</v>
      </c>
      <c r="H9" s="11">
        <f t="shared" si="1"/>
        <v>887845</v>
      </c>
      <c r="I9" s="11">
        <f t="shared" si="1"/>
        <v>1393225</v>
      </c>
      <c r="K9" s="101" t="s">
        <v>47</v>
      </c>
      <c r="L9" s="105"/>
      <c r="M9" s="105"/>
      <c r="N9" s="103">
        <v>0.16719999999999999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5">
      <c r="A10" s="1" t="s">
        <v>21</v>
      </c>
      <c r="B10" s="1"/>
      <c r="C10" s="10">
        <v>6</v>
      </c>
      <c r="D10" s="10">
        <v>5</v>
      </c>
      <c r="E10" s="10">
        <v>9</v>
      </c>
      <c r="F10" s="10">
        <v>10.5</v>
      </c>
      <c r="G10" s="11">
        <f>25052*D10-35608</f>
        <v>89652</v>
      </c>
      <c r="H10" s="11">
        <f t="shared" ref="H10:I10" si="2">25052*E10-35608</f>
        <v>189860</v>
      </c>
      <c r="I10" s="11">
        <f t="shared" si="2"/>
        <v>227438</v>
      </c>
      <c r="K10" s="104" t="s">
        <v>4</v>
      </c>
      <c r="L10" s="105"/>
      <c r="M10" s="105"/>
      <c r="N10" s="103">
        <v>5.8E-4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5">
      <c r="A11" s="1" t="s">
        <v>39</v>
      </c>
      <c r="B11" s="1"/>
      <c r="C11" s="10"/>
      <c r="D11" s="10"/>
      <c r="E11" s="10"/>
      <c r="F11" s="10"/>
      <c r="G11" s="11">
        <f>SUM(G6:G10)</f>
        <v>633993</v>
      </c>
      <c r="H11" s="11">
        <f>SUM(H6:H10)</f>
        <v>1352131</v>
      </c>
      <c r="I11" s="11">
        <f>SUM(I6:I10)</f>
        <v>1977329</v>
      </c>
      <c r="K11" s="104" t="s">
        <v>49</v>
      </c>
      <c r="L11" s="105"/>
      <c r="M11" s="105"/>
      <c r="N11" s="103">
        <v>-4.7229999999999998E-3</v>
      </c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</row>
    <row r="12" spans="1:55">
      <c r="A12" s="10" t="s">
        <v>40</v>
      </c>
      <c r="B12" s="10"/>
      <c r="C12" s="10"/>
      <c r="D12" s="10"/>
      <c r="E12" s="10"/>
      <c r="F12" s="1"/>
      <c r="G12" s="11">
        <f>SUM(G5:G10)</f>
        <v>1091290</v>
      </c>
      <c r="H12" s="11">
        <f>SUM(H5:H10)</f>
        <v>2286404</v>
      </c>
      <c r="I12" s="11">
        <f>SUM(I5:I10)</f>
        <v>3388578</v>
      </c>
      <c r="K12" s="104" t="s">
        <v>50</v>
      </c>
      <c r="L12" s="105"/>
      <c r="M12" s="105"/>
      <c r="N12" s="103">
        <v>-1.047E-3</v>
      </c>
      <c r="AC12" s="8"/>
      <c r="AD12" s="8"/>
      <c r="AE12" s="8"/>
      <c r="AF12" s="8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5">
      <c r="A13" s="10" t="s">
        <v>25</v>
      </c>
      <c r="B13" s="10"/>
      <c r="C13" s="10"/>
      <c r="D13" s="10">
        <v>0</v>
      </c>
      <c r="E13" s="10">
        <v>0</v>
      </c>
      <c r="F13" s="14">
        <v>0</v>
      </c>
      <c r="G13" s="10"/>
      <c r="H13" s="10"/>
      <c r="I13" s="10"/>
      <c r="J13" s="7"/>
      <c r="K13" s="104" t="s">
        <v>51</v>
      </c>
      <c r="L13" s="105"/>
      <c r="M13" s="105"/>
      <c r="N13" s="103">
        <v>2.6999999999999999E-5</v>
      </c>
      <c r="O13" s="13"/>
      <c r="P13" s="13"/>
      <c r="Q13" s="13"/>
      <c r="R13" s="13"/>
      <c r="S13" s="13"/>
      <c r="T13" s="13"/>
      <c r="AC13" s="8"/>
      <c r="AD13" s="8"/>
      <c r="AE13" s="8"/>
      <c r="AF13" s="8"/>
      <c r="AG13" s="13"/>
      <c r="AH13" s="13"/>
      <c r="AI13" s="13"/>
      <c r="AJ13" s="13"/>
      <c r="AK13" s="13"/>
      <c r="AL13" s="7"/>
      <c r="AM13" s="7"/>
      <c r="AN13" s="7"/>
      <c r="AO13" s="7"/>
      <c r="AP13" s="7"/>
      <c r="AQ13" s="7"/>
      <c r="AR13" s="7"/>
      <c r="AS13" s="7"/>
    </row>
    <row r="14" spans="1:55">
      <c r="A14" s="141" t="s">
        <v>56</v>
      </c>
      <c r="B14" s="141"/>
      <c r="C14" s="141"/>
      <c r="D14" s="141">
        <v>0.9</v>
      </c>
      <c r="E14" s="10"/>
      <c r="F14" s="10"/>
      <c r="G14" s="10"/>
      <c r="H14" s="10"/>
      <c r="I14" s="10"/>
      <c r="J14" s="7"/>
      <c r="K14" s="104" t="s">
        <v>52</v>
      </c>
      <c r="L14" s="105"/>
      <c r="M14" s="105"/>
      <c r="N14" s="103">
        <v>-9.9999999999999995E-7</v>
      </c>
      <c r="O14" s="7"/>
      <c r="P14" s="7"/>
      <c r="Q14" s="7"/>
      <c r="R14" s="7"/>
      <c r="S14" s="7"/>
      <c r="T14" s="7"/>
      <c r="AC14" s="8"/>
      <c r="AD14" s="8"/>
      <c r="AE14" s="8"/>
      <c r="AF14" s="8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1:55">
      <c r="A15" s="1" t="s">
        <v>1</v>
      </c>
      <c r="B15" s="1"/>
      <c r="C15" s="10"/>
      <c r="D15" s="15">
        <v>260</v>
      </c>
      <c r="E15" s="10"/>
      <c r="F15" s="10"/>
      <c r="G15" s="10"/>
      <c r="H15" s="10"/>
      <c r="I15" s="10"/>
      <c r="J15" s="7"/>
      <c r="K15" s="104" t="s">
        <v>53</v>
      </c>
      <c r="L15" s="105"/>
      <c r="M15" s="105"/>
      <c r="N15" s="103">
        <v>2.8E-5</v>
      </c>
      <c r="O15" s="7"/>
      <c r="P15" s="7"/>
      <c r="Q15" s="7"/>
      <c r="R15" s="7"/>
      <c r="S15" s="7"/>
      <c r="T15" s="7"/>
      <c r="AC15" s="8"/>
      <c r="AD15" s="8"/>
      <c r="AE15" s="8"/>
      <c r="AF15" s="8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55">
      <c r="A16" s="1" t="s">
        <v>41</v>
      </c>
      <c r="B16" s="1"/>
      <c r="C16" s="10"/>
      <c r="D16" s="15">
        <v>10</v>
      </c>
      <c r="E16" s="10"/>
      <c r="F16" s="10"/>
      <c r="G16" s="10"/>
      <c r="H16" s="10"/>
      <c r="I16" s="10"/>
      <c r="J16" s="7"/>
      <c r="K16" s="17"/>
      <c r="L16" s="18"/>
      <c r="M16" s="19"/>
      <c r="N16" s="17"/>
      <c r="O16" s="7"/>
      <c r="P16" s="7"/>
      <c r="Q16" s="7"/>
      <c r="R16" s="7"/>
      <c r="S16" s="7"/>
      <c r="T16" s="7"/>
      <c r="W16" s="7"/>
      <c r="X16" s="7"/>
      <c r="Y16" s="7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</row>
    <row r="17" spans="1:55">
      <c r="A17" s="1" t="s">
        <v>110</v>
      </c>
      <c r="B17" s="1"/>
      <c r="C17" s="10"/>
      <c r="D17" s="15">
        <v>2.54</v>
      </c>
      <c r="E17" s="10"/>
      <c r="F17" s="10"/>
      <c r="G17" s="10"/>
      <c r="H17" s="10"/>
      <c r="I17" s="10"/>
      <c r="J17" s="7"/>
      <c r="K17" s="7"/>
      <c r="L17" s="21"/>
      <c r="M17" s="7"/>
      <c r="N17" s="7"/>
      <c r="O17" s="7"/>
      <c r="P17" s="7"/>
      <c r="Q17" s="7"/>
      <c r="R17" s="7"/>
      <c r="S17" s="7"/>
      <c r="T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>
      <c r="A18" s="1" t="s">
        <v>55</v>
      </c>
      <c r="B18" s="1"/>
      <c r="C18" s="10"/>
      <c r="D18" s="10">
        <v>8</v>
      </c>
      <c r="E18" s="10"/>
      <c r="F18" s="10"/>
      <c r="G18" s="10"/>
      <c r="H18" s="10"/>
      <c r="I18" s="10"/>
      <c r="J18" s="7"/>
      <c r="K18" s="7"/>
      <c r="L18" s="21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20"/>
      <c r="AN18" s="20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</row>
    <row r="19" spans="1:55">
      <c r="A19" s="1" t="s">
        <v>111</v>
      </c>
      <c r="B19" s="1"/>
      <c r="C19" s="10"/>
      <c r="D19" s="10">
        <v>0.5</v>
      </c>
      <c r="E19" s="10"/>
      <c r="F19" s="10"/>
      <c r="G19" s="10"/>
      <c r="H19" s="10"/>
      <c r="I19" s="10"/>
      <c r="J19" s="7"/>
      <c r="K19" s="7"/>
      <c r="L19" s="21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55">
      <c r="A20" s="1" t="s">
        <v>68</v>
      </c>
      <c r="B20" s="1"/>
      <c r="C20" s="10"/>
      <c r="D20" s="10">
        <v>50</v>
      </c>
      <c r="E20" s="10"/>
      <c r="F20" s="10"/>
      <c r="G20" s="10"/>
      <c r="H20" s="10"/>
      <c r="I20" s="10"/>
      <c r="J20" s="7"/>
      <c r="K20" s="7"/>
      <c r="L20" s="21"/>
      <c r="M20" s="7"/>
      <c r="N20" s="74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55">
      <c r="A21" s="10" t="s">
        <v>14</v>
      </c>
      <c r="B21" s="10"/>
      <c r="C21" s="10"/>
      <c r="D21" s="142">
        <v>0.04</v>
      </c>
      <c r="E21" s="10"/>
      <c r="F21" s="10"/>
      <c r="G21" s="10"/>
      <c r="H21" s="10"/>
      <c r="I21" s="10"/>
      <c r="J21" s="7"/>
      <c r="K21" s="7"/>
      <c r="L21" s="21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55">
      <c r="A22" s="10" t="s">
        <v>112</v>
      </c>
      <c r="B22" s="10"/>
      <c r="C22" s="10"/>
      <c r="D22" s="10">
        <v>4</v>
      </c>
      <c r="E22" s="10"/>
      <c r="F22" s="10"/>
      <c r="G22" s="10"/>
      <c r="H22" s="10"/>
      <c r="I22" s="10"/>
      <c r="J22" s="7"/>
      <c r="K22" s="7"/>
      <c r="L22" s="21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55">
      <c r="A23" s="2" t="s">
        <v>54</v>
      </c>
      <c r="B23" s="2"/>
      <c r="C23" s="10">
        <v>700</v>
      </c>
      <c r="D23" s="106">
        <f>IF($D$22=1,$N$5,IF($D$22=2,$N$4,IF($D$22=3,$N$3,IF($D$22=4,$N$2))))*C23</f>
        <v>700</v>
      </c>
      <c r="E23" s="2"/>
      <c r="F23" s="2"/>
      <c r="G23" s="2"/>
      <c r="H23" s="2"/>
      <c r="I23" s="2"/>
      <c r="J23" s="7"/>
      <c r="K23" s="7"/>
      <c r="L23" s="21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1:55">
      <c r="A24" s="2"/>
      <c r="B24" s="2"/>
      <c r="C24" s="2"/>
      <c r="D24" s="2"/>
      <c r="E24" s="2"/>
      <c r="F24" s="2"/>
      <c r="G24" s="2"/>
      <c r="H24" s="2"/>
      <c r="I24" s="2"/>
      <c r="J24" s="7"/>
      <c r="K24" s="7"/>
      <c r="L24" s="21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8"/>
      <c r="Z24" s="7"/>
      <c r="AA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1:55" ht="15.6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84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7"/>
      <c r="AA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55" ht="15.6" customHeight="1" thickBot="1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7"/>
      <c r="AA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1:55" ht="15.6" customHeight="1">
      <c r="A27" s="81" t="s">
        <v>101</v>
      </c>
      <c r="B27" s="82"/>
      <c r="C27" s="82"/>
      <c r="D27" s="82"/>
      <c r="E27" s="82"/>
      <c r="F27" s="82"/>
      <c r="G27" s="82"/>
      <c r="H27" s="82"/>
      <c r="I27" s="82"/>
      <c r="J27" s="82"/>
      <c r="K27" s="83"/>
      <c r="L27" s="87"/>
      <c r="M27" s="130" t="s">
        <v>103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7"/>
      <c r="AA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1:55" ht="15.6" customHeight="1">
      <c r="A28" s="85" t="s">
        <v>4</v>
      </c>
      <c r="B28" s="85" t="s">
        <v>4</v>
      </c>
      <c r="C28" s="24">
        <v>200</v>
      </c>
      <c r="D28" s="24">
        <v>400</v>
      </c>
      <c r="E28" s="24">
        <v>600</v>
      </c>
      <c r="F28" s="24">
        <v>800</v>
      </c>
      <c r="G28" s="24">
        <v>1000</v>
      </c>
      <c r="H28" s="24">
        <v>1200</v>
      </c>
      <c r="I28" s="24">
        <v>1400</v>
      </c>
      <c r="J28" s="24">
        <v>1600</v>
      </c>
      <c r="K28" s="86">
        <v>1800</v>
      </c>
      <c r="L28" s="87"/>
      <c r="M28" s="33" t="str">
        <f>+B28</f>
        <v>Areal</v>
      </c>
      <c r="N28" s="33">
        <f t="shared" ref="N28:V34" si="3">+C28</f>
        <v>200</v>
      </c>
      <c r="O28" s="33">
        <f t="shared" si="3"/>
        <v>400</v>
      </c>
      <c r="P28" s="33">
        <f t="shared" si="3"/>
        <v>600</v>
      </c>
      <c r="Q28" s="33">
        <f t="shared" si="3"/>
        <v>800</v>
      </c>
      <c r="R28" s="33">
        <f t="shared" si="3"/>
        <v>1000</v>
      </c>
      <c r="S28" s="33">
        <f t="shared" si="3"/>
        <v>1200</v>
      </c>
      <c r="T28" s="33">
        <f t="shared" si="3"/>
        <v>1400</v>
      </c>
      <c r="U28" s="33">
        <f t="shared" si="3"/>
        <v>1600</v>
      </c>
      <c r="V28" s="33">
        <f>+K28</f>
        <v>1800</v>
      </c>
      <c r="W28" s="7"/>
      <c r="X28" s="7"/>
      <c r="Y28" s="8"/>
      <c r="Z28" s="7"/>
      <c r="AA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55" ht="15.6" customHeight="1">
      <c r="A29" s="85" t="s">
        <v>22</v>
      </c>
      <c r="B29" s="85" t="s">
        <v>22</v>
      </c>
      <c r="C29" s="24">
        <f>+C134/C28</f>
        <v>736.09351691699271</v>
      </c>
      <c r="D29" s="24">
        <f t="shared" ref="D29:K29" si="4">+D134/D28</f>
        <v>638.85877592409747</v>
      </c>
      <c r="E29" s="24">
        <f t="shared" si="4"/>
        <v>638.60032223852488</v>
      </c>
      <c r="F29" s="24">
        <f t="shared" si="4"/>
        <v>672.36426197009803</v>
      </c>
      <c r="G29" s="24">
        <f t="shared" si="4"/>
        <v>717.51716916449323</v>
      </c>
      <c r="H29" s="24">
        <f t="shared" si="4"/>
        <v>766.08548298498863</v>
      </c>
      <c r="I29" s="24">
        <f t="shared" si="4"/>
        <v>821.70006446648858</v>
      </c>
      <c r="J29" s="24">
        <f t="shared" si="4"/>
        <v>880.55363020983657</v>
      </c>
      <c r="K29" s="86">
        <f t="shared" si="4"/>
        <v>942.05666632559758</v>
      </c>
      <c r="L29" s="87"/>
      <c r="M29" s="33" t="str">
        <f t="shared" ref="M29:M34" si="5">+B29</f>
        <v>Liten</v>
      </c>
      <c r="N29" s="33">
        <f t="shared" si="3"/>
        <v>736.09351691699271</v>
      </c>
      <c r="O29" s="33">
        <f t="shared" si="3"/>
        <v>638.85877592409747</v>
      </c>
      <c r="P29" s="33">
        <f t="shared" si="3"/>
        <v>638.60032223852488</v>
      </c>
      <c r="Q29" s="33">
        <f t="shared" si="3"/>
        <v>672.36426197009803</v>
      </c>
      <c r="R29" s="33">
        <f t="shared" si="3"/>
        <v>717.51716916449323</v>
      </c>
      <c r="S29" s="33">
        <f t="shared" si="3"/>
        <v>766.08548298498863</v>
      </c>
      <c r="T29" s="33">
        <f t="shared" si="3"/>
        <v>821.70006446648858</v>
      </c>
      <c r="U29" s="33">
        <f t="shared" si="3"/>
        <v>880.55363020983657</v>
      </c>
      <c r="V29" s="33">
        <f t="shared" si="3"/>
        <v>942.05666632559758</v>
      </c>
      <c r="W29" s="7"/>
      <c r="X29" s="7"/>
      <c r="Y29" s="8"/>
      <c r="Z29" s="7"/>
      <c r="AA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55" ht="15.6" customHeight="1">
      <c r="A30" s="85" t="s">
        <v>23</v>
      </c>
      <c r="B30" s="85" t="s">
        <v>23</v>
      </c>
      <c r="C30" s="24">
        <f>+C154/C28</f>
        <v>1022.9143695642572</v>
      </c>
      <c r="D30" s="24">
        <f t="shared" ref="D30:K30" si="6">+D154/D28</f>
        <v>751.08008184998323</v>
      </c>
      <c r="E30" s="24">
        <f t="shared" si="6"/>
        <v>684.35716118394578</v>
      </c>
      <c r="F30" s="24">
        <f t="shared" si="6"/>
        <v>680.24994192233135</v>
      </c>
      <c r="G30" s="24">
        <f t="shared" si="6"/>
        <v>699.6905671383189</v>
      </c>
      <c r="H30" s="24">
        <f t="shared" si="6"/>
        <v>729.24180017736126</v>
      </c>
      <c r="I30" s="24">
        <f t="shared" si="6"/>
        <v>769.90915189934094</v>
      </c>
      <c r="J30" s="24">
        <f t="shared" si="6"/>
        <v>815.67467038947279</v>
      </c>
      <c r="K30" s="86">
        <f t="shared" si="6"/>
        <v>865.34887288846687</v>
      </c>
      <c r="L30" s="87"/>
      <c r="M30" s="33" t="str">
        <f t="shared" si="5"/>
        <v>Middels</v>
      </c>
      <c r="N30" s="33">
        <f t="shared" si="3"/>
        <v>1022.9143695642572</v>
      </c>
      <c r="O30" s="33">
        <f t="shared" si="3"/>
        <v>751.08008184998323</v>
      </c>
      <c r="P30" s="33">
        <f t="shared" si="3"/>
        <v>684.35716118394578</v>
      </c>
      <c r="Q30" s="33">
        <f t="shared" si="3"/>
        <v>680.24994192233135</v>
      </c>
      <c r="R30" s="33">
        <f t="shared" si="3"/>
        <v>699.6905671383189</v>
      </c>
      <c r="S30" s="33">
        <f t="shared" si="3"/>
        <v>729.24180017736126</v>
      </c>
      <c r="T30" s="33">
        <f t="shared" si="3"/>
        <v>769.90915189934094</v>
      </c>
      <c r="U30" s="33">
        <f t="shared" si="3"/>
        <v>815.67467038947279</v>
      </c>
      <c r="V30" s="33">
        <f t="shared" si="3"/>
        <v>865.34887288846687</v>
      </c>
      <c r="W30" s="7"/>
      <c r="X30" s="7"/>
      <c r="Y30" s="8"/>
      <c r="Z30" s="7"/>
      <c r="AA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55" ht="15.6" customHeight="1">
      <c r="A31" s="85" t="s">
        <v>24</v>
      </c>
      <c r="B31" s="85" t="s">
        <v>24</v>
      </c>
      <c r="C31" s="24">
        <f>+C174/C28</f>
        <v>1333.0734006559965</v>
      </c>
      <c r="D31" s="24">
        <f t="shared" ref="D31:K31" si="7">+D174/D28</f>
        <v>905.70441233774079</v>
      </c>
      <c r="E31" s="24">
        <f t="shared" si="7"/>
        <v>780.07969285883337</v>
      </c>
      <c r="F31" s="24">
        <f t="shared" si="7"/>
        <v>745.47612234446206</v>
      </c>
      <c r="G31" s="24">
        <f t="shared" si="7"/>
        <v>745.081512591609</v>
      </c>
      <c r="H31" s="24">
        <f t="shared" si="7"/>
        <v>757.55654815631124</v>
      </c>
      <c r="I31" s="24">
        <f t="shared" si="7"/>
        <v>787.6956028607616</v>
      </c>
      <c r="J31" s="24">
        <f t="shared" si="7"/>
        <v>824.96487069857278</v>
      </c>
      <c r="K31" s="86">
        <f t="shared" si="7"/>
        <v>867.2460187985555</v>
      </c>
      <c r="L31" s="87"/>
      <c r="M31" s="33" t="str">
        <f t="shared" si="5"/>
        <v>Stor</v>
      </c>
      <c r="N31" s="33">
        <f t="shared" si="3"/>
        <v>1333.0734006559965</v>
      </c>
      <c r="O31" s="33">
        <f t="shared" si="3"/>
        <v>905.70441233774079</v>
      </c>
      <c r="P31" s="33">
        <f t="shared" si="3"/>
        <v>780.07969285883337</v>
      </c>
      <c r="Q31" s="33">
        <f t="shared" si="3"/>
        <v>745.47612234446206</v>
      </c>
      <c r="R31" s="33">
        <f t="shared" si="3"/>
        <v>745.081512591609</v>
      </c>
      <c r="S31" s="33">
        <f t="shared" si="3"/>
        <v>757.55654815631124</v>
      </c>
      <c r="T31" s="33">
        <f t="shared" si="3"/>
        <v>787.6956028607616</v>
      </c>
      <c r="U31" s="33">
        <f t="shared" si="3"/>
        <v>824.96487069857278</v>
      </c>
      <c r="V31" s="33">
        <f t="shared" si="3"/>
        <v>867.2460187985555</v>
      </c>
      <c r="W31" s="7"/>
      <c r="X31" s="7"/>
      <c r="Y31" s="8"/>
      <c r="Z31" s="7"/>
      <c r="AA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55" ht="15.6" customHeight="1">
      <c r="A32" s="85" t="s">
        <v>89</v>
      </c>
      <c r="B32" s="85" t="s">
        <v>89</v>
      </c>
      <c r="C32" s="24">
        <f>+C264/C28</f>
        <v>1007.1816524490755</v>
      </c>
      <c r="D32" s="24">
        <f t="shared" ref="D32:K32" si="8">+D264/D28</f>
        <v>782.92508409133632</v>
      </c>
      <c r="E32" s="24">
        <f t="shared" si="8"/>
        <v>717.35499963595532</v>
      </c>
      <c r="F32" s="24">
        <f t="shared" si="8"/>
        <v>707.55023520869315</v>
      </c>
      <c r="G32" s="24">
        <f t="shared" si="8"/>
        <v>720.5337019073346</v>
      </c>
      <c r="H32" s="24">
        <f t="shared" si="8"/>
        <v>742.53571184297959</v>
      </c>
      <c r="I32" s="24">
        <f t="shared" si="8"/>
        <v>780.35292713758054</v>
      </c>
      <c r="J32" s="24">
        <f t="shared" si="8"/>
        <v>825.599514637418</v>
      </c>
      <c r="K32" s="86">
        <f t="shared" si="8"/>
        <v>873.84139680780868</v>
      </c>
      <c r="L32" s="91"/>
      <c r="M32" s="33" t="str">
        <f t="shared" si="5"/>
        <v>Liten to</v>
      </c>
      <c r="N32" s="33">
        <f t="shared" si="3"/>
        <v>1007.1816524490755</v>
      </c>
      <c r="O32" s="33">
        <f t="shared" si="3"/>
        <v>782.92508409133632</v>
      </c>
      <c r="P32" s="33">
        <f t="shared" si="3"/>
        <v>717.35499963595532</v>
      </c>
      <c r="Q32" s="33">
        <f t="shared" si="3"/>
        <v>707.55023520869315</v>
      </c>
      <c r="R32" s="33">
        <f t="shared" si="3"/>
        <v>720.5337019073346</v>
      </c>
      <c r="S32" s="33">
        <f t="shared" si="3"/>
        <v>742.53571184297959</v>
      </c>
      <c r="T32" s="33">
        <f t="shared" si="3"/>
        <v>780.35292713758054</v>
      </c>
      <c r="U32" s="33">
        <f t="shared" si="3"/>
        <v>825.599514637418</v>
      </c>
      <c r="V32" s="33">
        <f t="shared" si="3"/>
        <v>873.84139680780868</v>
      </c>
      <c r="W32" s="7"/>
      <c r="X32" s="7"/>
      <c r="Y32" s="8"/>
      <c r="Z32" s="7"/>
      <c r="AA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 ht="15.6" customHeight="1">
      <c r="A33" s="85" t="s">
        <v>90</v>
      </c>
      <c r="B33" s="85" t="s">
        <v>90</v>
      </c>
      <c r="C33" s="24">
        <f>+C284/C28</f>
        <v>1324.2977603396489</v>
      </c>
      <c r="D33" s="24">
        <f t="shared" ref="D33:K33" si="9">+D284/D28</f>
        <v>926.36556840424271</v>
      </c>
      <c r="E33" s="24">
        <f t="shared" si="9"/>
        <v>782.40718948819131</v>
      </c>
      <c r="F33" s="24">
        <f t="shared" si="9"/>
        <v>725.00923956852057</v>
      </c>
      <c r="G33" s="24">
        <f t="shared" si="9"/>
        <v>702.39909307253708</v>
      </c>
      <c r="H33" s="24">
        <f t="shared" si="9"/>
        <v>693.73054815866988</v>
      </c>
      <c r="I33" s="24">
        <f t="shared" si="9"/>
        <v>701.87145923147432</v>
      </c>
      <c r="J33" s="24">
        <f t="shared" si="9"/>
        <v>718.31184189677526</v>
      </c>
      <c r="K33" s="86">
        <f t="shared" si="9"/>
        <v>740.88824009352504</v>
      </c>
      <c r="L33" s="7"/>
      <c r="M33" s="33" t="str">
        <f t="shared" si="5"/>
        <v>Middels to</v>
      </c>
      <c r="N33" s="33">
        <f t="shared" si="3"/>
        <v>1324.2977603396489</v>
      </c>
      <c r="O33" s="33">
        <f t="shared" si="3"/>
        <v>926.36556840424271</v>
      </c>
      <c r="P33" s="33">
        <f t="shared" si="3"/>
        <v>782.40718948819131</v>
      </c>
      <c r="Q33" s="33">
        <f t="shared" si="3"/>
        <v>725.00923956852057</v>
      </c>
      <c r="R33" s="33">
        <f t="shared" si="3"/>
        <v>702.39909307253708</v>
      </c>
      <c r="S33" s="33">
        <f t="shared" si="3"/>
        <v>693.73054815866988</v>
      </c>
      <c r="T33" s="33">
        <f t="shared" si="3"/>
        <v>701.87145923147432</v>
      </c>
      <c r="U33" s="33">
        <f t="shared" si="3"/>
        <v>718.31184189677526</v>
      </c>
      <c r="V33" s="33">
        <f t="shared" si="3"/>
        <v>740.88824009352504</v>
      </c>
      <c r="W33" s="7"/>
      <c r="X33" s="7"/>
      <c r="Y33" s="8"/>
      <c r="Z33" s="7"/>
      <c r="AA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 ht="15.6" customHeight="1" thickBot="1">
      <c r="A34" s="88" t="s">
        <v>91</v>
      </c>
      <c r="B34" s="88" t="s">
        <v>91</v>
      </c>
      <c r="C34" s="89">
        <f>+C304/C28</f>
        <v>1544.2691766478786</v>
      </c>
      <c r="D34" s="89">
        <f t="shared" ref="D34:K34" si="10">+D304/D28</f>
        <v>1029.4421418119532</v>
      </c>
      <c r="E34" s="89">
        <f t="shared" si="10"/>
        <v>841.03985710971926</v>
      </c>
      <c r="F34" s="89">
        <f t="shared" si="10"/>
        <v>759.79902934998393</v>
      </c>
      <c r="G34" s="89">
        <f t="shared" si="10"/>
        <v>720.30055547291795</v>
      </c>
      <c r="H34" s="89">
        <f t="shared" si="10"/>
        <v>696.79788938114928</v>
      </c>
      <c r="I34" s="89">
        <f t="shared" si="10"/>
        <v>693.36383638962616</v>
      </c>
      <c r="J34" s="89">
        <f t="shared" si="10"/>
        <v>699.47519653100153</v>
      </c>
      <c r="K34" s="90">
        <f t="shared" si="10"/>
        <v>712.56001891224446</v>
      </c>
      <c r="L34" s="87"/>
      <c r="M34" s="33" t="str">
        <f t="shared" si="5"/>
        <v>Stor to</v>
      </c>
      <c r="N34" s="33">
        <f t="shared" si="3"/>
        <v>1544.2691766478786</v>
      </c>
      <c r="O34" s="33">
        <f t="shared" si="3"/>
        <v>1029.4421418119532</v>
      </c>
      <c r="P34" s="33">
        <f t="shared" si="3"/>
        <v>841.03985710971926</v>
      </c>
      <c r="Q34" s="33">
        <f t="shared" si="3"/>
        <v>759.79902934998393</v>
      </c>
      <c r="R34" s="33">
        <f t="shared" si="3"/>
        <v>720.30055547291795</v>
      </c>
      <c r="S34" s="33">
        <f t="shared" si="3"/>
        <v>696.79788938114928</v>
      </c>
      <c r="T34" s="33">
        <f t="shared" si="3"/>
        <v>693.36383638962616</v>
      </c>
      <c r="U34" s="33">
        <f t="shared" si="3"/>
        <v>699.47519653100153</v>
      </c>
      <c r="V34" s="33">
        <f t="shared" si="3"/>
        <v>712.56001891224446</v>
      </c>
      <c r="W34" s="7"/>
      <c r="X34" s="7"/>
      <c r="Y34" s="8"/>
      <c r="Z34" s="7"/>
      <c r="AA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 ht="15.6" customHeight="1" thickBot="1">
      <c r="A35" s="92"/>
      <c r="B35" s="92"/>
      <c r="C35" s="92"/>
      <c r="D35" s="92"/>
      <c r="E35" s="92"/>
      <c r="F35" s="92"/>
      <c r="G35" s="93"/>
      <c r="H35" s="92"/>
      <c r="I35" s="92"/>
      <c r="J35" s="92"/>
      <c r="K35" s="92"/>
      <c r="L35" s="87"/>
      <c r="M35" s="26"/>
      <c r="N35" s="26"/>
      <c r="O35" s="26"/>
      <c r="P35" s="26"/>
      <c r="Q35" s="26"/>
      <c r="R35" s="26"/>
      <c r="S35" s="26"/>
      <c r="T35" s="26"/>
      <c r="U35" s="26"/>
      <c r="V35" s="7"/>
      <c r="W35" s="7"/>
      <c r="X35" s="7"/>
      <c r="Y35" s="8"/>
      <c r="Z35" s="7"/>
      <c r="AA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 ht="15.6" customHeight="1">
      <c r="A36" s="81" t="s">
        <v>13</v>
      </c>
      <c r="B36" s="82"/>
      <c r="C36" s="82"/>
      <c r="D36" s="82"/>
      <c r="E36" s="82"/>
      <c r="F36" s="82"/>
      <c r="G36" s="94"/>
      <c r="H36" s="82"/>
      <c r="I36" s="82"/>
      <c r="J36" s="82"/>
      <c r="K36" s="83"/>
      <c r="L36" s="87"/>
      <c r="M36" s="131" t="s">
        <v>104</v>
      </c>
      <c r="W36" s="7"/>
      <c r="X36" s="7"/>
      <c r="Y36" s="8"/>
      <c r="Z36" s="7"/>
      <c r="AA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 ht="15.6" customHeight="1">
      <c r="A37" s="85" t="s">
        <v>4</v>
      </c>
      <c r="B37" s="85" t="s">
        <v>4</v>
      </c>
      <c r="C37" s="26">
        <f>+C28</f>
        <v>200</v>
      </c>
      <c r="D37" s="26">
        <f t="shared" ref="D37:K37" si="11">+D28</f>
        <v>400</v>
      </c>
      <c r="E37" s="26">
        <f t="shared" si="11"/>
        <v>600</v>
      </c>
      <c r="F37" s="26">
        <f t="shared" si="11"/>
        <v>800</v>
      </c>
      <c r="G37" s="26">
        <f t="shared" si="11"/>
        <v>1000</v>
      </c>
      <c r="H37" s="26">
        <f t="shared" si="11"/>
        <v>1200</v>
      </c>
      <c r="I37" s="26">
        <f t="shared" si="11"/>
        <v>1400</v>
      </c>
      <c r="J37" s="26">
        <f t="shared" si="11"/>
        <v>1600</v>
      </c>
      <c r="K37" s="95">
        <f t="shared" si="11"/>
        <v>1800</v>
      </c>
      <c r="L37" s="87"/>
      <c r="M37" s="7" t="str">
        <f>+[1]Høstpløyd!B28</f>
        <v>Areal</v>
      </c>
      <c r="N37" s="7">
        <f>+[1]Høstpløyd!C28</f>
        <v>200</v>
      </c>
      <c r="O37" s="7">
        <f>+[1]Høstpløyd!D28</f>
        <v>400</v>
      </c>
      <c r="P37" s="7">
        <f>+[1]Høstpløyd!E28</f>
        <v>600</v>
      </c>
      <c r="Q37" s="7">
        <f>+[1]Høstpløyd!F28</f>
        <v>800</v>
      </c>
      <c r="R37" s="7">
        <f>+[1]Høstpløyd!G28</f>
        <v>1000</v>
      </c>
      <c r="S37" s="7">
        <f>+[1]Høstpløyd!H28</f>
        <v>1200</v>
      </c>
      <c r="T37" s="7">
        <f>+[1]Høstpløyd!I28</f>
        <v>1400</v>
      </c>
      <c r="U37" s="7">
        <f>+[1]Høstpløyd!J28</f>
        <v>1600</v>
      </c>
      <c r="V37" s="7">
        <f>+[1]Høstpløyd!K28</f>
        <v>1800</v>
      </c>
      <c r="W37" s="7"/>
      <c r="X37" s="7"/>
      <c r="Y37" s="8"/>
      <c r="Z37" s="7"/>
      <c r="AA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 ht="15.6" customHeight="1">
      <c r="A38" s="85" t="s">
        <v>22</v>
      </c>
      <c r="B38" s="85" t="s">
        <v>22</v>
      </c>
      <c r="C38" s="26">
        <f>+C131/C37</f>
        <v>290.81114260639333</v>
      </c>
      <c r="D38" s="26">
        <f t="shared" ref="D38:K38" si="12">+D131/D37</f>
        <v>347.38301987414582</v>
      </c>
      <c r="E38" s="26">
        <f t="shared" si="12"/>
        <v>402.48029027498723</v>
      </c>
      <c r="F38" s="26">
        <f t="shared" si="12"/>
        <v>461.50319125417764</v>
      </c>
      <c r="G38" s="26">
        <f t="shared" si="12"/>
        <v>521.94849223336803</v>
      </c>
      <c r="H38" s="26">
        <f t="shared" si="12"/>
        <v>582.15086608001104</v>
      </c>
      <c r="I38" s="26">
        <f t="shared" si="12"/>
        <v>645.27951493829414</v>
      </c>
      <c r="J38" s="26">
        <f t="shared" si="12"/>
        <v>709.83056379657728</v>
      </c>
      <c r="K38" s="26">
        <f t="shared" si="12"/>
        <v>775.80401265486034</v>
      </c>
      <c r="L38" s="87"/>
      <c r="M38" s="7" t="str">
        <f>+[1]Høstpløyd!B29</f>
        <v>Liten</v>
      </c>
      <c r="N38" s="33">
        <f>+Høstpløyd!C29</f>
        <v>664.11012448262363</v>
      </c>
      <c r="O38" s="33">
        <f>+Høstpløyd!D29</f>
        <v>572.67474458752451</v>
      </c>
      <c r="P38" s="33">
        <f>+Høstpløyd!E29</f>
        <v>571.0705114725256</v>
      </c>
      <c r="Q38" s="33">
        <f>+Høstpløyd!F29</f>
        <v>600.37610567680133</v>
      </c>
      <c r="R38" s="33">
        <f>+Høstpløyd!G29</f>
        <v>640.68181043508503</v>
      </c>
      <c r="S38" s="33">
        <f>+Høstpløyd!H29</f>
        <v>684.17988216113713</v>
      </c>
      <c r="T38" s="33">
        <f>+Høstpløyd!I29</f>
        <v>734.31082127072364</v>
      </c>
      <c r="U38" s="33">
        <f>+Høstpløyd!J29</f>
        <v>787.53687862428592</v>
      </c>
      <c r="V38" s="33">
        <f>+Høstpløyd!K29</f>
        <v>843.31519964623703</v>
      </c>
      <c r="W38" s="7"/>
      <c r="X38" s="7"/>
      <c r="Y38" s="8"/>
      <c r="Z38" s="7"/>
      <c r="AA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 ht="15.6" customHeight="1">
      <c r="A39" s="85" t="s">
        <v>23</v>
      </c>
      <c r="B39" s="85" t="s">
        <v>23</v>
      </c>
      <c r="C39" s="26">
        <f>+C151/C37</f>
        <v>258.22145931433488</v>
      </c>
      <c r="D39" s="26">
        <f t="shared" ref="D39:K39" si="13">+D151/D37</f>
        <v>308.11228756821288</v>
      </c>
      <c r="E39" s="26">
        <f t="shared" si="13"/>
        <v>354.90008245397894</v>
      </c>
      <c r="F39" s="26">
        <f t="shared" si="13"/>
        <v>406.91901008680526</v>
      </c>
      <c r="G39" s="26">
        <f t="shared" si="13"/>
        <v>460.3603377196311</v>
      </c>
      <c r="H39" s="26">
        <f t="shared" si="13"/>
        <v>512.45443242228623</v>
      </c>
      <c r="I39" s="26">
        <f t="shared" si="13"/>
        <v>568.44071249672538</v>
      </c>
      <c r="J39" s="26">
        <f t="shared" si="13"/>
        <v>625.84939257116457</v>
      </c>
      <c r="K39" s="26">
        <f t="shared" si="13"/>
        <v>684.68047264560425</v>
      </c>
      <c r="L39" s="87"/>
      <c r="M39" s="7" t="str">
        <f>+[1]Høstpløyd!B30</f>
        <v>Middels</v>
      </c>
      <c r="N39" s="33">
        <f>+Høstpløyd!C30</f>
        <v>947.32207753281227</v>
      </c>
      <c r="O39" s="33">
        <f>+Høstpløyd!D30</f>
        <v>684.61576217394713</v>
      </c>
      <c r="P39" s="33">
        <f>+Høstpløyd!E30</f>
        <v>616.86115109708749</v>
      </c>
      <c r="Q39" s="33">
        <f>+Høstpløyd!F30</f>
        <v>607.94127185000571</v>
      </c>
      <c r="R39" s="33">
        <f>+Høstpløyd!G30</f>
        <v>621.40208789562416</v>
      </c>
      <c r="S39" s="33">
        <f>+Høstpløyd!H30</f>
        <v>643.91741436181633</v>
      </c>
      <c r="T39" s="33">
        <f>+Høstpløyd!I30</f>
        <v>677.57750279027653</v>
      </c>
      <c r="U39" s="33">
        <f>+Høstpløyd!J30</f>
        <v>716.14159040340223</v>
      </c>
      <c r="V39" s="33">
        <f>+Høstpløyd!K30</f>
        <v>758.48159817148132</v>
      </c>
      <c r="W39" s="7"/>
      <c r="X39" s="7"/>
      <c r="Y39" s="8"/>
      <c r="Z39" s="7"/>
      <c r="AA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 ht="15.6" customHeight="1">
      <c r="A40" s="85" t="s">
        <v>24</v>
      </c>
      <c r="B40" s="85" t="s">
        <v>24</v>
      </c>
      <c r="C40" s="26">
        <f>+C171/C37</f>
        <v>246.31187781524298</v>
      </c>
      <c r="D40" s="26">
        <f t="shared" ref="D40:K40" si="14">+D171/D37</f>
        <v>293.33307752629798</v>
      </c>
      <c r="E40" s="26">
        <f t="shared" si="14"/>
        <v>336.16058649513303</v>
      </c>
      <c r="F40" s="26">
        <f t="shared" si="14"/>
        <v>385.06796758897434</v>
      </c>
      <c r="G40" s="26">
        <f t="shared" si="14"/>
        <v>435.39774868281472</v>
      </c>
      <c r="H40" s="26">
        <f t="shared" si="14"/>
        <v>483.57127357669134</v>
      </c>
      <c r="I40" s="26">
        <f t="shared" si="14"/>
        <v>536.3370679344838</v>
      </c>
      <c r="J40" s="26">
        <f t="shared" si="14"/>
        <v>590.52526229227601</v>
      </c>
      <c r="K40" s="26">
        <f t="shared" si="14"/>
        <v>646.13585665006849</v>
      </c>
      <c r="L40" s="87"/>
      <c r="M40" s="7" t="str">
        <f>+[1]Høstpløyd!B31</f>
        <v>Stor</v>
      </c>
      <c r="N40" s="33">
        <f>+Høstpløyd!C31</f>
        <v>1257.6064204482029</v>
      </c>
      <c r="O40" s="33">
        <f>+Høstpløyd!D31</f>
        <v>842.7108414926098</v>
      </c>
      <c r="P40" s="33">
        <f>+Høstpløyd!E31</f>
        <v>717.6585719068255</v>
      </c>
      <c r="Q40" s="33">
        <f>+Høstpløyd!F31</f>
        <v>679.35677851866353</v>
      </c>
      <c r="R40" s="33">
        <f>+Høstpløyd!G31</f>
        <v>673.88914935703394</v>
      </c>
      <c r="S40" s="33">
        <f>+Høstpløyd!H31</f>
        <v>680.55475927394139</v>
      </c>
      <c r="T40" s="33">
        <f>+Høstpløyd!I31</f>
        <v>703.57956811407519</v>
      </c>
      <c r="U40" s="33">
        <f>+Høstpløyd!J31</f>
        <v>734.26975186835898</v>
      </c>
      <c r="V40" s="33">
        <f>+Høstpløyd!K31</f>
        <v>769.8231827814576</v>
      </c>
      <c r="W40" s="7"/>
      <c r="X40" s="7"/>
      <c r="Y40" s="8"/>
      <c r="Z40" s="7"/>
      <c r="AA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 ht="15.6" customHeight="1">
      <c r="A41" s="85" t="s">
        <v>89</v>
      </c>
      <c r="B41" s="85" t="s">
        <v>89</v>
      </c>
      <c r="C41" s="26">
        <f>+C261/C37</f>
        <v>241.9720756333584</v>
      </c>
      <c r="D41" s="26">
        <f t="shared" ref="D41:K41" si="15">+D261/D37</f>
        <v>287.86475816886349</v>
      </c>
      <c r="E41" s="26">
        <f t="shared" si="15"/>
        <v>330.69111812260161</v>
      </c>
      <c r="F41" s="26">
        <f t="shared" si="15"/>
        <v>378.6410480809829</v>
      </c>
      <c r="G41" s="26">
        <f t="shared" si="15"/>
        <v>428.01337803936343</v>
      </c>
      <c r="H41" s="26">
        <f t="shared" si="15"/>
        <v>476.02629647352944</v>
      </c>
      <c r="I41" s="26">
        <f t="shared" si="15"/>
        <v>527.92052219009554</v>
      </c>
      <c r="J41" s="26">
        <f t="shared" si="15"/>
        <v>581.23714790666179</v>
      </c>
      <c r="K41" s="26">
        <f t="shared" si="15"/>
        <v>635.97617362322785</v>
      </c>
      <c r="L41" s="87"/>
      <c r="M41" s="7" t="str">
        <f>+[1]Høstpløyd!B32</f>
        <v>Liten to</v>
      </c>
      <c r="N41" s="33">
        <f>+Høstpløyd!C32</f>
        <v>890.96319440031846</v>
      </c>
      <c r="O41" s="33">
        <f>+Høstpløyd!D32</f>
        <v>682.57003997309073</v>
      </c>
      <c r="P41" s="33">
        <f>+Høstpløyd!E32</f>
        <v>617.50403892377005</v>
      </c>
      <c r="Q41" s="33">
        <f>+Høstpløyd!F32</f>
        <v>601.34781516600322</v>
      </c>
      <c r="R41" s="33">
        <f>+Høstpløyd!G32</f>
        <v>605.80048803758882</v>
      </c>
      <c r="S41" s="33">
        <f>+Høstpløyd!H32</f>
        <v>618.65208956313938</v>
      </c>
      <c r="T41" s="33">
        <f>+Høstpløyd!I32</f>
        <v>642.91333077265085</v>
      </c>
      <c r="U41" s="33">
        <f>+Høstpløyd!J32</f>
        <v>676.7914322282794</v>
      </c>
      <c r="V41" s="33">
        <f>+Høstpløyd!K32</f>
        <v>713.51066255246133</v>
      </c>
      <c r="W41" s="7"/>
      <c r="X41" s="7"/>
      <c r="Y41" s="8"/>
      <c r="Z41" s="7"/>
      <c r="AA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 ht="15.6" customHeight="1">
      <c r="A42" s="85" t="s">
        <v>90</v>
      </c>
      <c r="B42" s="85" t="s">
        <v>90</v>
      </c>
      <c r="C42" s="26">
        <f>+C281/C37</f>
        <v>205.34028906264354</v>
      </c>
      <c r="D42" s="26">
        <f t="shared" ref="D42:K42" si="16">+D281/D37</f>
        <v>237.87087357040011</v>
      </c>
      <c r="E42" s="26">
        <f t="shared" si="16"/>
        <v>266.64336026294887</v>
      </c>
      <c r="F42" s="26">
        <f t="shared" si="16"/>
        <v>300.58534352860147</v>
      </c>
      <c r="G42" s="26">
        <f t="shared" si="16"/>
        <v>335.94972679425319</v>
      </c>
      <c r="H42" s="26">
        <f t="shared" si="16"/>
        <v>368.86294844722249</v>
      </c>
      <c r="I42" s="26">
        <f t="shared" si="16"/>
        <v>406.47243659610086</v>
      </c>
      <c r="J42" s="26">
        <f t="shared" si="16"/>
        <v>445.50432474497961</v>
      </c>
      <c r="K42" s="26">
        <f t="shared" si="16"/>
        <v>485.95861289385812</v>
      </c>
      <c r="L42" s="7"/>
      <c r="M42" s="7" t="str">
        <f>+[1]Høstpløyd!B33</f>
        <v>Middels to</v>
      </c>
      <c r="N42" s="33">
        <f>+Høstpløyd!C33</f>
        <v>1228.7381591594346</v>
      </c>
      <c r="O42" s="33">
        <f>+Høstpløyd!D33</f>
        <v>846.72475268942367</v>
      </c>
      <c r="P42" s="33">
        <f>+Høstpløyd!E33</f>
        <v>704.09206088942074</v>
      </c>
      <c r="Q42" s="33">
        <f>+Høstpløyd!F33</f>
        <v>638.02846339965708</v>
      </c>
      <c r="R42" s="33">
        <f>+Høstpløyd!G33</f>
        <v>604.21850230957273</v>
      </c>
      <c r="S42" s="33">
        <f>+Høstpløyd!H33</f>
        <v>584.2336754415137</v>
      </c>
      <c r="T42" s="33">
        <f>+Høstpløyd!I33</f>
        <v>578.89192135246549</v>
      </c>
      <c r="U42" s="33">
        <f>+Høstpløyd!J33</f>
        <v>581.33232978301089</v>
      </c>
      <c r="V42" s="33">
        <f>+Høstpløyd!K33</f>
        <v>589.55592303103901</v>
      </c>
      <c r="W42" s="7"/>
      <c r="X42" s="7"/>
      <c r="Y42" s="8"/>
      <c r="Z42" s="7"/>
      <c r="AA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 ht="15.6" customHeight="1" thickBot="1">
      <c r="A43" s="88" t="s">
        <v>91</v>
      </c>
      <c r="B43" s="88" t="s">
        <v>91</v>
      </c>
      <c r="C43" s="96">
        <f>+C301/C37</f>
        <v>197.95934190444032</v>
      </c>
      <c r="D43" s="96">
        <f t="shared" ref="D43:K43" si="17">+D301/D37</f>
        <v>224.75066932655042</v>
      </c>
      <c r="E43" s="96">
        <f t="shared" si="17"/>
        <v>247.78275503690102</v>
      </c>
      <c r="F43" s="96">
        <f t="shared" si="17"/>
        <v>275.50164522458238</v>
      </c>
      <c r="G43" s="96">
        <f t="shared" si="17"/>
        <v>304.64293541226363</v>
      </c>
      <c r="H43" s="96">
        <f t="shared" si="17"/>
        <v>330.71464611233068</v>
      </c>
      <c r="I43" s="96">
        <f t="shared" si="17"/>
        <v>361.88316282791533</v>
      </c>
      <c r="J43" s="96">
        <f t="shared" si="17"/>
        <v>394.47407954349995</v>
      </c>
      <c r="K43" s="96">
        <f t="shared" si="17"/>
        <v>428.48739625908485</v>
      </c>
      <c r="L43" s="87"/>
      <c r="M43" s="7" t="str">
        <f>+[1]Høstpløyd!B34</f>
        <v>Stor to</v>
      </c>
      <c r="N43" s="33">
        <f>+Høstpløyd!C34</f>
        <v>1468.194547450388</v>
      </c>
      <c r="O43" s="33">
        <f>+Høstpløyd!D34</f>
        <v>967.69849595603887</v>
      </c>
      <c r="P43" s="33">
        <f>+Høstpløyd!E34</f>
        <v>781.63319609942675</v>
      </c>
      <c r="Q43" s="33">
        <f>+Høstpløyd!F34</f>
        <v>692.19389140156886</v>
      </c>
      <c r="R43" s="33">
        <f>+Høstpløyd!G34</f>
        <v>642.21553717329118</v>
      </c>
      <c r="S43" s="33">
        <f>+Høstpløyd!H34</f>
        <v>608.49337292436087</v>
      </c>
      <c r="T43" s="33">
        <f>+Høstpløyd!I34</f>
        <v>592.43246903471447</v>
      </c>
      <c r="U43" s="33">
        <f>+Høstpløyd!J34</f>
        <v>585.44957567432391</v>
      </c>
      <c r="V43" s="33">
        <f>+Høstpløyd!K34</f>
        <v>585.12105712479445</v>
      </c>
      <c r="W43" s="7"/>
      <c r="X43" s="7"/>
      <c r="Y43" s="8"/>
      <c r="Z43" s="7"/>
      <c r="AA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ht="15.6" customHeight="1" thickBot="1">
      <c r="A44" s="92"/>
      <c r="B44" s="92"/>
      <c r="C44" s="92"/>
      <c r="D44" s="92"/>
      <c r="E44" s="92"/>
      <c r="F44" s="92"/>
      <c r="G44" s="93"/>
      <c r="H44" s="92"/>
      <c r="I44" s="92"/>
      <c r="J44" s="92"/>
      <c r="K44" s="92"/>
      <c r="L44" s="87"/>
      <c r="M44" s="7"/>
      <c r="N44" s="33"/>
      <c r="O44" s="33"/>
      <c r="P44" s="30"/>
      <c r="Q44" s="33"/>
      <c r="R44" s="33"/>
      <c r="S44" s="24"/>
      <c r="T44" s="24"/>
      <c r="U44" s="33"/>
      <c r="V44" s="33"/>
      <c r="W44" s="7"/>
      <c r="X44" s="7"/>
      <c r="Y44" s="8"/>
      <c r="Z44" s="7"/>
      <c r="AA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 ht="15.6" customHeight="1">
      <c r="A45" s="81" t="s">
        <v>102</v>
      </c>
      <c r="B45" s="82"/>
      <c r="C45" s="82"/>
      <c r="D45" s="82"/>
      <c r="E45" s="82"/>
      <c r="F45" s="82"/>
      <c r="G45" s="94"/>
      <c r="H45" s="82"/>
      <c r="I45" s="82"/>
      <c r="J45" s="82"/>
      <c r="K45" s="83"/>
      <c r="L45" s="87"/>
      <c r="M45" s="132" t="s">
        <v>113</v>
      </c>
      <c r="N45" s="26"/>
      <c r="O45" s="26"/>
      <c r="P45" s="26"/>
      <c r="Q45" s="26"/>
      <c r="R45" s="26"/>
      <c r="S45" s="26"/>
      <c r="T45" s="26"/>
      <c r="U45" s="26"/>
      <c r="V45" s="7"/>
      <c r="W45" s="7"/>
      <c r="X45" s="7"/>
      <c r="Y45" s="8"/>
      <c r="Z45" s="7"/>
      <c r="AA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 ht="15.6" customHeight="1">
      <c r="A46" s="85" t="s">
        <v>4</v>
      </c>
      <c r="B46" s="85" t="s">
        <v>4</v>
      </c>
      <c r="C46" s="26">
        <f>+C28</f>
        <v>200</v>
      </c>
      <c r="D46" s="26">
        <f t="shared" ref="D46:K46" si="18">+D28</f>
        <v>400</v>
      </c>
      <c r="E46" s="26">
        <f t="shared" si="18"/>
        <v>600</v>
      </c>
      <c r="F46" s="26">
        <f t="shared" si="18"/>
        <v>800</v>
      </c>
      <c r="G46" s="26">
        <f t="shared" si="18"/>
        <v>1000</v>
      </c>
      <c r="H46" s="26">
        <f t="shared" si="18"/>
        <v>1200</v>
      </c>
      <c r="I46" s="26">
        <f t="shared" si="18"/>
        <v>1400</v>
      </c>
      <c r="J46" s="26">
        <f t="shared" si="18"/>
        <v>1600</v>
      </c>
      <c r="K46" s="95">
        <f t="shared" si="18"/>
        <v>1800</v>
      </c>
      <c r="L46" s="87"/>
      <c r="M46" s="7" t="str">
        <f>+[1]Høstpløyd!B37</f>
        <v>Areal</v>
      </c>
      <c r="N46" s="26">
        <f>+N28</f>
        <v>200</v>
      </c>
      <c r="O46" s="26">
        <f t="shared" ref="O46:V46" si="19">+O28</f>
        <v>400</v>
      </c>
      <c r="P46" s="26">
        <f t="shared" si="19"/>
        <v>600</v>
      </c>
      <c r="Q46" s="26">
        <f t="shared" si="19"/>
        <v>800</v>
      </c>
      <c r="R46" s="26">
        <f t="shared" si="19"/>
        <v>1000</v>
      </c>
      <c r="S46" s="26">
        <f t="shared" si="19"/>
        <v>1200</v>
      </c>
      <c r="T46" s="26">
        <f t="shared" si="19"/>
        <v>1400</v>
      </c>
      <c r="U46" s="26">
        <f t="shared" si="19"/>
        <v>1600</v>
      </c>
      <c r="V46" s="26">
        <f t="shared" si="19"/>
        <v>1800</v>
      </c>
      <c r="W46" s="7"/>
      <c r="X46" s="7"/>
      <c r="Y46" s="8"/>
      <c r="Z46" s="7"/>
      <c r="AA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 ht="15.6" customHeight="1">
      <c r="A47" s="85" t="s">
        <v>22</v>
      </c>
      <c r="B47" s="85" t="s">
        <v>22</v>
      </c>
      <c r="C47" s="26">
        <f>+C133/C46</f>
        <v>372.56591220140831</v>
      </c>
      <c r="D47" s="26">
        <f t="shared" ref="D47:K47" si="20">+D133/D46</f>
        <v>218.75929394076059</v>
      </c>
      <c r="E47" s="26">
        <f t="shared" si="20"/>
        <v>165.31720941628188</v>
      </c>
      <c r="F47" s="26">
        <f t="shared" si="20"/>
        <v>140.05824816866459</v>
      </c>
      <c r="G47" s="26">
        <f t="shared" si="20"/>
        <v>124.76585438386945</v>
      </c>
      <c r="H47" s="26">
        <f t="shared" si="20"/>
        <v>113.91499472033951</v>
      </c>
      <c r="I47" s="26">
        <f t="shared" si="20"/>
        <v>106.4009273435565</v>
      </c>
      <c r="J47" s="26">
        <f t="shared" si="20"/>
        <v>100.70344422862121</v>
      </c>
      <c r="K47" s="95">
        <f t="shared" si="20"/>
        <v>96.233031486099179</v>
      </c>
      <c r="L47" s="87"/>
      <c r="M47" s="7" t="str">
        <f>+[1]Høstpløyd!B38</f>
        <v>Liten</v>
      </c>
      <c r="N47" s="26">
        <f>+N29-N38</f>
        <v>71.98339243436908</v>
      </c>
      <c r="O47" s="26">
        <f t="shared" ref="O47:V47" si="21">+O29-O38</f>
        <v>66.184031336572957</v>
      </c>
      <c r="P47" s="26">
        <f t="shared" si="21"/>
        <v>67.529810765999287</v>
      </c>
      <c r="Q47" s="26">
        <f t="shared" si="21"/>
        <v>71.988156293296697</v>
      </c>
      <c r="R47" s="26">
        <f t="shared" si="21"/>
        <v>76.835358729408199</v>
      </c>
      <c r="S47" s="26">
        <f t="shared" si="21"/>
        <v>81.905600823851501</v>
      </c>
      <c r="T47" s="26">
        <f t="shared" si="21"/>
        <v>87.389243195764948</v>
      </c>
      <c r="U47" s="26">
        <f t="shared" si="21"/>
        <v>93.016751585550651</v>
      </c>
      <c r="V47" s="26">
        <f t="shared" si="21"/>
        <v>98.741466679360542</v>
      </c>
      <c r="W47" s="7"/>
      <c r="X47" s="7"/>
      <c r="Y47" s="8"/>
      <c r="Z47" s="7"/>
      <c r="AA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 ht="15.6" customHeight="1">
      <c r="A48" s="85" t="s">
        <v>23</v>
      </c>
      <c r="B48" s="85" t="s">
        <v>23</v>
      </c>
      <c r="C48" s="26">
        <f>+C153/C46</f>
        <v>717.24869676359378</v>
      </c>
      <c r="D48" s="26">
        <f t="shared" ref="D48:K48" si="22">+D153/D46</f>
        <v>395.52358079544183</v>
      </c>
      <c r="E48" s="26">
        <f t="shared" si="22"/>
        <v>283.60586336101647</v>
      </c>
      <c r="F48" s="26">
        <f t="shared" si="22"/>
        <v>227.47971646657555</v>
      </c>
      <c r="G48" s="26">
        <f t="shared" si="22"/>
        <v>193.47901404973746</v>
      </c>
      <c r="H48" s="26">
        <f t="shared" si="22"/>
        <v>171.58857429773815</v>
      </c>
      <c r="I48" s="26">
        <f t="shared" si="22"/>
        <v>156.26964594527871</v>
      </c>
      <c r="J48" s="26">
        <f t="shared" si="22"/>
        <v>144.62648436097123</v>
      </c>
      <c r="K48" s="95">
        <f t="shared" si="22"/>
        <v>135.46960678552568</v>
      </c>
      <c r="L48" s="87"/>
      <c r="M48" s="7" t="str">
        <f>+[1]Høstpløyd!B39</f>
        <v>Middels</v>
      </c>
      <c r="N48" s="26">
        <f t="shared" ref="N48:V52" si="23">+N30-N39</f>
        <v>75.592292031444913</v>
      </c>
      <c r="O48" s="26">
        <f t="shared" si="23"/>
        <v>66.464319676036098</v>
      </c>
      <c r="P48" s="26">
        <f t="shared" si="23"/>
        <v>67.496010086858291</v>
      </c>
      <c r="Q48" s="26">
        <f t="shared" si="23"/>
        <v>72.30867007232564</v>
      </c>
      <c r="R48" s="26">
        <f t="shared" si="23"/>
        <v>78.288479242694734</v>
      </c>
      <c r="S48" s="26">
        <f t="shared" si="23"/>
        <v>85.324385815544929</v>
      </c>
      <c r="T48" s="26">
        <f t="shared" si="23"/>
        <v>92.331649109064415</v>
      </c>
      <c r="U48" s="26">
        <f t="shared" si="23"/>
        <v>99.533079986070561</v>
      </c>
      <c r="V48" s="26">
        <f t="shared" si="23"/>
        <v>106.86727471698555</v>
      </c>
      <c r="W48" s="7"/>
      <c r="X48" s="7"/>
      <c r="Y48" s="8"/>
      <c r="Z48" s="7"/>
      <c r="AA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1:45" ht="15.6" customHeight="1">
      <c r="A49" s="85" t="s">
        <v>24</v>
      </c>
      <c r="B49" s="85" t="s">
        <v>24</v>
      </c>
      <c r="C49" s="26">
        <f>+C173/C46</f>
        <v>1043.792057073126</v>
      </c>
      <c r="D49" s="26">
        <f t="shared" ref="D49:K49" si="24">+D173/D46</f>
        <v>569.40186904381517</v>
      </c>
      <c r="E49" s="26">
        <f t="shared" si="24"/>
        <v>402.74559436339138</v>
      </c>
      <c r="F49" s="26">
        <f t="shared" si="24"/>
        <v>319.23464275517875</v>
      </c>
      <c r="G49" s="26">
        <f t="shared" si="24"/>
        <v>268.51025190848537</v>
      </c>
      <c r="H49" s="26">
        <f t="shared" si="24"/>
        <v>233.54645932075709</v>
      </c>
      <c r="I49" s="26">
        <f t="shared" si="24"/>
        <v>210.919719667415</v>
      </c>
      <c r="J49" s="26">
        <f t="shared" si="24"/>
        <v>194.00079314743391</v>
      </c>
      <c r="K49" s="95">
        <f t="shared" si="24"/>
        <v>180.6713468896242</v>
      </c>
      <c r="L49" s="87"/>
      <c r="M49" s="7" t="str">
        <f>+[1]Høstpløyd!B40</f>
        <v>Stor</v>
      </c>
      <c r="N49" s="26">
        <f t="shared" si="23"/>
        <v>75.46698020779354</v>
      </c>
      <c r="O49" s="26">
        <f t="shared" si="23"/>
        <v>62.993570845130989</v>
      </c>
      <c r="P49" s="26">
        <f t="shared" si="23"/>
        <v>62.421120952007868</v>
      </c>
      <c r="Q49" s="26">
        <f t="shared" si="23"/>
        <v>66.119343825798524</v>
      </c>
      <c r="R49" s="26">
        <f t="shared" si="23"/>
        <v>71.192363234575055</v>
      </c>
      <c r="S49" s="26">
        <f t="shared" si="23"/>
        <v>77.001788882369851</v>
      </c>
      <c r="T49" s="26">
        <f t="shared" si="23"/>
        <v>84.11603474668641</v>
      </c>
      <c r="U49" s="26">
        <f t="shared" si="23"/>
        <v>90.695118830213801</v>
      </c>
      <c r="V49" s="26">
        <f t="shared" si="23"/>
        <v>97.422836017097893</v>
      </c>
      <c r="W49" s="7"/>
      <c r="X49" s="7"/>
      <c r="Y49" s="8"/>
      <c r="Z49" s="7"/>
      <c r="AA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 ht="15.6" customHeight="1">
      <c r="A50" s="85" t="s">
        <v>89</v>
      </c>
      <c r="B50" s="85" t="s">
        <v>89</v>
      </c>
      <c r="C50" s="26">
        <f>+C263/C46</f>
        <v>692.49311470652583</v>
      </c>
      <c r="D50" s="26">
        <f t="shared" ref="D50:K50" si="25">+D263/D46</f>
        <v>422.34386381328181</v>
      </c>
      <c r="E50" s="26">
        <f t="shared" si="25"/>
        <v>315.86105896609797</v>
      </c>
      <c r="F50" s="26">
        <f t="shared" si="25"/>
        <v>258.10636458045462</v>
      </c>
      <c r="G50" s="26">
        <f t="shared" si="25"/>
        <v>221.71750132071537</v>
      </c>
      <c r="H50" s="26">
        <f t="shared" si="25"/>
        <v>196.48979318481207</v>
      </c>
      <c r="I50" s="26">
        <f t="shared" si="25"/>
        <v>182.412782762847</v>
      </c>
      <c r="J50" s="26">
        <f t="shared" si="25"/>
        <v>174.34274454611833</v>
      </c>
      <c r="K50" s="95">
        <f t="shared" si="25"/>
        <v>167.84560099994277</v>
      </c>
      <c r="L50" s="87"/>
      <c r="M50" s="7" t="str">
        <f>+[1]Høstpløyd!B41</f>
        <v>Liten to</v>
      </c>
      <c r="N50" s="26">
        <f t="shared" si="23"/>
        <v>116.21845804875704</v>
      </c>
      <c r="O50" s="26">
        <f t="shared" si="23"/>
        <v>100.35504411824559</v>
      </c>
      <c r="P50" s="26">
        <f t="shared" si="23"/>
        <v>99.85096071218527</v>
      </c>
      <c r="Q50" s="26">
        <f t="shared" si="23"/>
        <v>106.20242004268994</v>
      </c>
      <c r="R50" s="26">
        <f t="shared" si="23"/>
        <v>114.73321386974578</v>
      </c>
      <c r="S50" s="26">
        <f t="shared" si="23"/>
        <v>123.88362227984021</v>
      </c>
      <c r="T50" s="26">
        <f t="shared" si="23"/>
        <v>137.43959636492968</v>
      </c>
      <c r="U50" s="26">
        <f t="shared" si="23"/>
        <v>148.80808240913859</v>
      </c>
      <c r="V50" s="26">
        <f t="shared" si="23"/>
        <v>160.33073425534735</v>
      </c>
      <c r="W50" s="7"/>
      <c r="X50" s="7"/>
      <c r="Y50" s="8"/>
      <c r="Z50" s="7"/>
      <c r="AA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</row>
    <row r="51" spans="1:45" ht="15.6" customHeight="1">
      <c r="A51" s="85" t="s">
        <v>90</v>
      </c>
      <c r="B51" s="85" t="s">
        <v>90</v>
      </c>
      <c r="C51" s="26">
        <f>+C283/C46</f>
        <v>1071.5132577906768</v>
      </c>
      <c r="D51" s="26">
        <f t="shared" ref="D51:K51" si="26">+D283/D46</f>
        <v>641.05048134751394</v>
      </c>
      <c r="E51" s="26">
        <f t="shared" si="26"/>
        <v>469.91261385629184</v>
      </c>
      <c r="F51" s="26">
        <f t="shared" si="26"/>
        <v>378.57268067096862</v>
      </c>
      <c r="G51" s="26">
        <f t="shared" si="26"/>
        <v>320.59815090933347</v>
      </c>
      <c r="H51" s="26">
        <f t="shared" si="26"/>
        <v>279.66880625411039</v>
      </c>
      <c r="I51" s="26">
        <f t="shared" si="26"/>
        <v>250.20022917803655</v>
      </c>
      <c r="J51" s="26">
        <f t="shared" si="26"/>
        <v>227.60872369445869</v>
      </c>
      <c r="K51" s="95">
        <f t="shared" si="26"/>
        <v>209.73083374232999</v>
      </c>
      <c r="L51" s="7"/>
      <c r="M51" s="7" t="str">
        <f>+[1]Høstpløyd!B42</f>
        <v>Middels to</v>
      </c>
      <c r="N51" s="26">
        <f t="shared" si="23"/>
        <v>95.559601180214258</v>
      </c>
      <c r="O51" s="26">
        <f t="shared" si="23"/>
        <v>79.640815714819041</v>
      </c>
      <c r="P51" s="26">
        <f t="shared" si="23"/>
        <v>78.315128598770571</v>
      </c>
      <c r="Q51" s="26">
        <f t="shared" si="23"/>
        <v>86.980776168863486</v>
      </c>
      <c r="R51" s="26">
        <f t="shared" si="23"/>
        <v>98.180590762964357</v>
      </c>
      <c r="S51" s="26">
        <f t="shared" si="23"/>
        <v>109.49687271715618</v>
      </c>
      <c r="T51" s="26">
        <f t="shared" si="23"/>
        <v>122.97953787900883</v>
      </c>
      <c r="U51" s="26">
        <f t="shared" si="23"/>
        <v>136.97951211376437</v>
      </c>
      <c r="V51" s="26">
        <f t="shared" si="23"/>
        <v>151.33231706248603</v>
      </c>
      <c r="W51" s="7"/>
      <c r="X51" s="7"/>
      <c r="Y51" s="8"/>
      <c r="Z51" s="7"/>
      <c r="AA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:45" ht="15.6" customHeight="1" thickBot="1">
      <c r="A52" s="88" t="s">
        <v>91</v>
      </c>
      <c r="B52" s="88" t="s">
        <v>91</v>
      </c>
      <c r="C52" s="96">
        <f>+C303/C46</f>
        <v>1303.3403689758104</v>
      </c>
      <c r="D52" s="96">
        <f t="shared" ref="D52:K52" si="27">+D303/D46</f>
        <v>761.72200671777512</v>
      </c>
      <c r="E52" s="96">
        <f t="shared" si="27"/>
        <v>552.0835900725092</v>
      </c>
      <c r="F52" s="96">
        <f t="shared" si="27"/>
        <v>443.12387212509259</v>
      </c>
      <c r="G52" s="96">
        <f t="shared" si="27"/>
        <v>374.48410806034542</v>
      </c>
      <c r="H52" s="96">
        <f t="shared" si="27"/>
        <v>325.64442800995579</v>
      </c>
      <c r="I52" s="96">
        <f t="shared" si="27"/>
        <v>291.04185830284797</v>
      </c>
      <c r="J52" s="96">
        <f t="shared" si="27"/>
        <v>264.56230172863872</v>
      </c>
      <c r="K52" s="97">
        <f t="shared" si="27"/>
        <v>243.63380739429681</v>
      </c>
      <c r="L52" s="7"/>
      <c r="M52" s="7" t="str">
        <f>+[1]Høstpløyd!B43</f>
        <v>Stor to</v>
      </c>
      <c r="N52" s="26">
        <f t="shared" si="23"/>
        <v>76.074629197490594</v>
      </c>
      <c r="O52" s="26">
        <f t="shared" si="23"/>
        <v>61.743645855914338</v>
      </c>
      <c r="P52" s="26">
        <f t="shared" si="23"/>
        <v>59.40666101029251</v>
      </c>
      <c r="Q52" s="26">
        <f t="shared" si="23"/>
        <v>67.605137948415063</v>
      </c>
      <c r="R52" s="26">
        <f t="shared" si="23"/>
        <v>78.085018299626768</v>
      </c>
      <c r="S52" s="26">
        <f t="shared" si="23"/>
        <v>88.304516456788406</v>
      </c>
      <c r="T52" s="26">
        <f t="shared" si="23"/>
        <v>100.93136735491169</v>
      </c>
      <c r="U52" s="26">
        <f t="shared" si="23"/>
        <v>114.02562085667762</v>
      </c>
      <c r="V52" s="26">
        <f t="shared" si="23"/>
        <v>127.43896178745001</v>
      </c>
      <c r="W52" s="7"/>
      <c r="X52" s="7"/>
      <c r="Y52" s="8"/>
      <c r="Z52" s="7"/>
      <c r="AA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1:45" ht="15.6" customHeight="1">
      <c r="A53" s="17"/>
      <c r="B53" s="17"/>
      <c r="C53" s="17"/>
      <c r="D53" s="17"/>
      <c r="E53" s="17"/>
      <c r="F53" s="17"/>
      <c r="G53" s="18"/>
      <c r="H53" s="17"/>
      <c r="I53" s="17"/>
      <c r="J53" s="17"/>
      <c r="K53" s="17"/>
      <c r="L53" s="7"/>
      <c r="M53" s="132" t="s">
        <v>114</v>
      </c>
      <c r="N53" s="26">
        <f>SMALL(N38:N43,1)</f>
        <v>664.11012448262363</v>
      </c>
      <c r="O53" s="26">
        <f t="shared" ref="O53:V53" si="28">SMALL(O38:O43,1)</f>
        <v>572.67474458752451</v>
      </c>
      <c r="P53" s="26">
        <f t="shared" si="28"/>
        <v>571.0705114725256</v>
      </c>
      <c r="Q53" s="26">
        <f t="shared" si="28"/>
        <v>600.37610567680133</v>
      </c>
      <c r="R53" s="26">
        <f t="shared" si="28"/>
        <v>604.21850230957273</v>
      </c>
      <c r="S53" s="26">
        <f t="shared" si="28"/>
        <v>584.2336754415137</v>
      </c>
      <c r="T53" s="26">
        <f t="shared" si="28"/>
        <v>578.89192135246549</v>
      </c>
      <c r="U53" s="26">
        <f t="shared" si="28"/>
        <v>581.33232978301089</v>
      </c>
      <c r="V53" s="26">
        <f t="shared" si="28"/>
        <v>585.12105712479445</v>
      </c>
      <c r="W53" s="7"/>
      <c r="X53" s="7"/>
      <c r="Y53" s="8"/>
      <c r="Z53" s="7"/>
      <c r="AA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 ht="15.6" customHeight="1">
      <c r="A54" s="7"/>
      <c r="B54" s="7"/>
      <c r="C54" s="7"/>
      <c r="D54" s="7"/>
      <c r="E54" s="7"/>
      <c r="F54" s="7"/>
      <c r="G54" s="21"/>
      <c r="H54" s="7"/>
      <c r="I54" s="7"/>
      <c r="J54" s="7"/>
      <c r="K54" s="7"/>
      <c r="L54" s="7"/>
      <c r="M54" s="132" t="s">
        <v>115</v>
      </c>
      <c r="N54" s="26">
        <f>SMALL(C29:C34,1)</f>
        <v>736.09351691699271</v>
      </c>
      <c r="O54" s="26">
        <f t="shared" ref="O54:V54" si="29">SMALL(D29:D34,1)</f>
        <v>638.85877592409747</v>
      </c>
      <c r="P54" s="26">
        <f t="shared" si="29"/>
        <v>638.60032223852488</v>
      </c>
      <c r="Q54" s="26">
        <f t="shared" si="29"/>
        <v>672.36426197009803</v>
      </c>
      <c r="R54" s="26">
        <f t="shared" si="29"/>
        <v>699.6905671383189</v>
      </c>
      <c r="S54" s="26">
        <f t="shared" si="29"/>
        <v>693.73054815866988</v>
      </c>
      <c r="T54" s="26">
        <f t="shared" si="29"/>
        <v>693.36383638962616</v>
      </c>
      <c r="U54" s="26">
        <f t="shared" si="29"/>
        <v>699.47519653100153</v>
      </c>
      <c r="V54" s="26">
        <f t="shared" si="29"/>
        <v>712.56001891224446</v>
      </c>
      <c r="W54" s="7"/>
      <c r="X54" s="7"/>
      <c r="Y54" s="8"/>
      <c r="Z54" s="7"/>
      <c r="AA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>
      <c r="A55" s="27" t="s">
        <v>2</v>
      </c>
      <c r="B55" s="27"/>
      <c r="C55" s="28" t="s">
        <v>3</v>
      </c>
      <c r="D55" s="28" t="s">
        <v>3</v>
      </c>
      <c r="E55" s="28" t="s">
        <v>3</v>
      </c>
      <c r="F55" s="28" t="s">
        <v>3</v>
      </c>
      <c r="G55" s="29" t="s">
        <v>3</v>
      </c>
      <c r="H55" s="7"/>
      <c r="I55" s="7"/>
      <c r="J55" s="7"/>
      <c r="K55" s="7"/>
      <c r="L55" s="7"/>
      <c r="M55" s="26"/>
      <c r="W55" s="7"/>
      <c r="X55" s="7"/>
      <c r="Y55" s="8"/>
      <c r="Z55" s="7"/>
      <c r="AA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</row>
    <row r="56" spans="1:45">
      <c r="A56" s="27" t="s">
        <v>4</v>
      </c>
      <c r="B56" s="27"/>
      <c r="C56" s="30">
        <v>200</v>
      </c>
      <c r="D56" s="30">
        <v>400</v>
      </c>
      <c r="E56" s="30">
        <v>600</v>
      </c>
      <c r="F56" s="30">
        <v>800</v>
      </c>
      <c r="G56" s="31">
        <v>1000</v>
      </c>
      <c r="H56" s="30">
        <v>1200</v>
      </c>
      <c r="I56" s="30">
        <v>1400</v>
      </c>
      <c r="J56" s="30">
        <v>1600</v>
      </c>
      <c r="K56" s="30">
        <v>1800</v>
      </c>
      <c r="L56" s="7"/>
      <c r="M56" s="132" t="s">
        <v>116</v>
      </c>
      <c r="N56" s="26" t="str">
        <f t="shared" ref="N56:V56" si="30">IF(N54=C29,$M$47,IF(N54=C30,$M$48,IF(N54=C31,$M$49,IF(N54=C32,$M$50,IF(N54=C33,$M$51,$M$52)))))</f>
        <v>Liten</v>
      </c>
      <c r="O56" s="26" t="str">
        <f t="shared" si="30"/>
        <v>Liten</v>
      </c>
      <c r="P56" s="26" t="str">
        <f t="shared" si="30"/>
        <v>Liten</v>
      </c>
      <c r="Q56" s="26" t="str">
        <f t="shared" si="30"/>
        <v>Liten</v>
      </c>
      <c r="R56" s="26" t="str">
        <f t="shared" si="30"/>
        <v>Middels</v>
      </c>
      <c r="S56" s="26" t="str">
        <f t="shared" si="30"/>
        <v>Middels to</v>
      </c>
      <c r="T56" s="26" t="str">
        <f t="shared" si="30"/>
        <v>Stor to</v>
      </c>
      <c r="U56" s="26" t="str">
        <f t="shared" si="30"/>
        <v>Stor to</v>
      </c>
      <c r="V56" s="26" t="str">
        <f t="shared" si="30"/>
        <v>Stor to</v>
      </c>
      <c r="W56" s="7"/>
      <c r="X56" s="7"/>
      <c r="Y56" s="8"/>
      <c r="Z56" s="7"/>
      <c r="AA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</row>
    <row r="57" spans="1:45">
      <c r="A57" s="32"/>
      <c r="B57" s="32"/>
      <c r="C57" s="33"/>
      <c r="D57" s="33"/>
      <c r="E57" s="33"/>
      <c r="F57" s="33"/>
      <c r="G57" s="34"/>
      <c r="H57" s="33"/>
      <c r="I57" s="33"/>
      <c r="J57" s="33"/>
      <c r="K57" s="33"/>
      <c r="L57" s="26"/>
      <c r="M57" s="26"/>
      <c r="N57" s="133">
        <f>+N46</f>
        <v>200</v>
      </c>
      <c r="O57" s="133">
        <f t="shared" ref="O57:V57" si="31">+O46</f>
        <v>400</v>
      </c>
      <c r="P57" s="133">
        <f t="shared" si="31"/>
        <v>600</v>
      </c>
      <c r="Q57" s="133">
        <f t="shared" si="31"/>
        <v>800</v>
      </c>
      <c r="R57" s="133">
        <f t="shared" si="31"/>
        <v>1000</v>
      </c>
      <c r="S57" s="133">
        <f t="shared" si="31"/>
        <v>1200</v>
      </c>
      <c r="T57" s="133">
        <f t="shared" si="31"/>
        <v>1400</v>
      </c>
      <c r="U57" s="133">
        <f t="shared" si="31"/>
        <v>1600</v>
      </c>
      <c r="V57" s="133">
        <f t="shared" si="31"/>
        <v>1800</v>
      </c>
      <c r="W57" s="7"/>
      <c r="X57" s="7"/>
      <c r="Y57" s="8"/>
      <c r="Z57" s="7"/>
      <c r="AA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</row>
    <row r="58" spans="1:45">
      <c r="A58" s="27" t="s">
        <v>16</v>
      </c>
      <c r="B58" s="27"/>
      <c r="C58" s="30">
        <f t="shared" ref="C58:K58" si="32">C56/$C$6/$D$6/IF(C56&lt;501,0.73,IF(C56&lt;1001,0.78,0.8))/$D$14</f>
        <v>36.239762267159527</v>
      </c>
      <c r="D58" s="30">
        <f t="shared" si="32"/>
        <v>72.479524534319054</v>
      </c>
      <c r="E58" s="30">
        <f t="shared" si="32"/>
        <v>101.75010175010175</v>
      </c>
      <c r="F58" s="30">
        <f t="shared" si="32"/>
        <v>135.66680233346898</v>
      </c>
      <c r="G58" s="30">
        <f t="shared" si="32"/>
        <v>169.58350291683624</v>
      </c>
      <c r="H58" s="30">
        <f t="shared" si="32"/>
        <v>198.41269841269838</v>
      </c>
      <c r="I58" s="30">
        <f t="shared" si="32"/>
        <v>231.4814814814815</v>
      </c>
      <c r="J58" s="30">
        <f t="shared" si="32"/>
        <v>264.55026455026456</v>
      </c>
      <c r="K58" s="30">
        <f t="shared" si="32"/>
        <v>297.61904761904765</v>
      </c>
      <c r="L58" s="26"/>
      <c r="M58" s="132" t="s">
        <v>117</v>
      </c>
      <c r="N58" s="26">
        <f>+N54-N53</f>
        <v>71.98339243436908</v>
      </c>
      <c r="O58" s="26">
        <f t="shared" ref="O58:V58" si="33">+O54-O53</f>
        <v>66.184031336572957</v>
      </c>
      <c r="P58" s="26">
        <f t="shared" si="33"/>
        <v>67.529810765999287</v>
      </c>
      <c r="Q58" s="26">
        <f t="shared" si="33"/>
        <v>71.988156293296697</v>
      </c>
      <c r="R58" s="26">
        <f t="shared" si="33"/>
        <v>95.47206482874617</v>
      </c>
      <c r="S58" s="26">
        <f t="shared" si="33"/>
        <v>109.49687271715618</v>
      </c>
      <c r="T58" s="26">
        <f t="shared" si="33"/>
        <v>114.47191503716067</v>
      </c>
      <c r="U58" s="26">
        <f t="shared" si="33"/>
        <v>118.14286674799064</v>
      </c>
      <c r="V58" s="26">
        <f t="shared" si="33"/>
        <v>127.43896178745001</v>
      </c>
      <c r="W58" s="7"/>
      <c r="X58" s="7"/>
      <c r="Y58" s="8"/>
    </row>
    <row r="59" spans="1:45">
      <c r="A59" s="27" t="s">
        <v>5</v>
      </c>
      <c r="B59" s="27"/>
      <c r="C59" s="30">
        <f t="shared" ref="C59:K59" si="34">IF($G$7=0,0,C56/$C$7/$D$7/IF(C56&lt;501,-0.0089*$D$7+0.8649,IF(C56&lt;1001,-0.0064*$D$7+0.8801,-0.0053*$D$7+0.8866)))/$D$14</f>
        <v>8.5526746939933194</v>
      </c>
      <c r="D59" s="30">
        <f t="shared" si="34"/>
        <v>17.105349387986639</v>
      </c>
      <c r="E59" s="30">
        <f t="shared" si="34"/>
        <v>24.860825988513056</v>
      </c>
      <c r="F59" s="30">
        <f t="shared" si="34"/>
        <v>33.14776798468408</v>
      </c>
      <c r="G59" s="31">
        <f t="shared" si="34"/>
        <v>41.434709980855096</v>
      </c>
      <c r="H59" s="30">
        <f t="shared" si="34"/>
        <v>49.061770301990528</v>
      </c>
      <c r="I59" s="30">
        <f t="shared" si="34"/>
        <v>57.238732018988941</v>
      </c>
      <c r="J59" s="30">
        <f t="shared" si="34"/>
        <v>65.415693735987375</v>
      </c>
      <c r="K59" s="30">
        <f t="shared" si="34"/>
        <v>73.592655452985795</v>
      </c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7"/>
      <c r="Y59" s="8"/>
    </row>
    <row r="60" spans="1:45">
      <c r="A60" s="27" t="s">
        <v>6</v>
      </c>
      <c r="B60" s="27"/>
      <c r="C60" s="30">
        <f t="shared" ref="C60:K60" si="35">IF($G$8=0,0,C56/$C$8/$D$8/IF(C56&lt;501,-0.0089*$D$8+0.8649,IF(C56&lt;1001,-0.0064*$D$8+0.8801,-0.0053*$D$8+0.8866)))/$D$14</f>
        <v>7.0433791597592021</v>
      </c>
      <c r="D60" s="30">
        <f t="shared" si="35"/>
        <v>14.086758319518404</v>
      </c>
      <c r="E60" s="30">
        <f t="shared" si="35"/>
        <v>20.473621402304872</v>
      </c>
      <c r="F60" s="30">
        <f t="shared" si="35"/>
        <v>27.298161869739825</v>
      </c>
      <c r="G60" s="31">
        <f t="shared" si="35"/>
        <v>34.122702337174779</v>
      </c>
      <c r="H60" s="30">
        <f t="shared" si="35"/>
        <v>40.403810836933381</v>
      </c>
      <c r="I60" s="30">
        <f t="shared" si="35"/>
        <v>47.137779309755608</v>
      </c>
      <c r="J60" s="30">
        <f t="shared" si="35"/>
        <v>53.871747782577827</v>
      </c>
      <c r="K60" s="30">
        <f t="shared" si="35"/>
        <v>60.605716255400061</v>
      </c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7"/>
      <c r="X60" s="7"/>
      <c r="Y60" s="8"/>
      <c r="Z60" s="7"/>
      <c r="AA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</row>
    <row r="61" spans="1:45">
      <c r="A61" s="27" t="s">
        <v>7</v>
      </c>
      <c r="B61" s="27"/>
      <c r="C61" s="30">
        <f t="shared" ref="C61:K61" si="36">IF($G$9=0,0,C56/$C$9/$D$9/IF(C56&lt;501,-0.0347*$D$9+0.5604,IF(C96&lt;1001,-0.0348*$D$9+0.5736,-0.0348*$D$9+0.579)))/$D$14</f>
        <v>27.056057445421168</v>
      </c>
      <c r="D61" s="30">
        <f t="shared" si="36"/>
        <v>54.112114890842335</v>
      </c>
      <c r="E61" s="30">
        <f t="shared" si="36"/>
        <v>78.936566575100244</v>
      </c>
      <c r="F61" s="30">
        <f t="shared" si="36"/>
        <v>105.24875543346701</v>
      </c>
      <c r="G61" s="31">
        <f t="shared" si="36"/>
        <v>131.56094429183375</v>
      </c>
      <c r="H61" s="30">
        <f t="shared" si="36"/>
        <v>156.076852242044</v>
      </c>
      <c r="I61" s="30">
        <f t="shared" si="36"/>
        <v>182.08966094905134</v>
      </c>
      <c r="J61" s="30">
        <f t="shared" si="36"/>
        <v>208.10246965605867</v>
      </c>
      <c r="K61" s="30">
        <f t="shared" si="36"/>
        <v>234.11527836306598</v>
      </c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7"/>
      <c r="X61" s="7"/>
      <c r="Y61" s="8"/>
      <c r="Z61" s="7"/>
      <c r="AA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</row>
    <row r="62" spans="1:45" s="36" customFormat="1">
      <c r="A62" s="27" t="s">
        <v>8</v>
      </c>
      <c r="B62" s="27"/>
      <c r="C62" s="30">
        <f t="shared" ref="C62:K62" si="37">IF($G$10=0,0,C56/$C$10/$D$10/IF(C56&lt;501,-0.0099*$D$10+0.8474,IF(C56&lt;1001,-0.007*$D$10+0.8544,-0.0057*$D$10+0.8573)))/$D$14</f>
        <v>9.2836287848194097</v>
      </c>
      <c r="D62" s="30">
        <f t="shared" si="37"/>
        <v>18.567257569638819</v>
      </c>
      <c r="E62" s="30">
        <f t="shared" si="37"/>
        <v>27.120114989287551</v>
      </c>
      <c r="F62" s="30">
        <f t="shared" si="37"/>
        <v>36.160153319050067</v>
      </c>
      <c r="G62" s="31">
        <f t="shared" si="37"/>
        <v>45.200191648812577</v>
      </c>
      <c r="H62" s="30">
        <f t="shared" si="37"/>
        <v>53.625053625053624</v>
      </c>
      <c r="I62" s="30">
        <f t="shared" si="37"/>
        <v>62.562562562562569</v>
      </c>
      <c r="J62" s="30">
        <f t="shared" si="37"/>
        <v>71.500071500071513</v>
      </c>
      <c r="K62" s="30">
        <f t="shared" si="37"/>
        <v>80.437580437580436</v>
      </c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7"/>
      <c r="X62" s="16"/>
      <c r="Y62" s="35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</row>
    <row r="63" spans="1:45" s="36" customFormat="1">
      <c r="A63" s="27" t="s">
        <v>67</v>
      </c>
      <c r="B63" s="27"/>
      <c r="C63" s="30">
        <f t="shared" ref="C63:K63" si="38">+C56*0.1++C58-C58*$D$19</f>
        <v>38.119881133579767</v>
      </c>
      <c r="D63" s="30">
        <f t="shared" si="38"/>
        <v>76.239762267159534</v>
      </c>
      <c r="E63" s="30">
        <f t="shared" si="38"/>
        <v>110.87505087505087</v>
      </c>
      <c r="F63" s="30">
        <f t="shared" si="38"/>
        <v>147.83340116673449</v>
      </c>
      <c r="G63" s="30">
        <f t="shared" si="38"/>
        <v>184.7917514584181</v>
      </c>
      <c r="H63" s="30">
        <f t="shared" si="38"/>
        <v>219.20634920634919</v>
      </c>
      <c r="I63" s="30">
        <f t="shared" si="38"/>
        <v>255.74074074074076</v>
      </c>
      <c r="J63" s="30">
        <f t="shared" si="38"/>
        <v>292.27513227513225</v>
      </c>
      <c r="K63" s="30">
        <f t="shared" si="38"/>
        <v>328.80952380952385</v>
      </c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7"/>
      <c r="X63" s="16"/>
      <c r="Y63" s="35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</row>
    <row r="64" spans="1:45" s="36" customFormat="1">
      <c r="A64" s="27" t="s">
        <v>71</v>
      </c>
      <c r="B64" s="27"/>
      <c r="C64" s="30">
        <f t="shared" ref="C64:K64" si="39">SUM(C59:C62)+C58*$D$19+0.02*C56</f>
        <v>74.055621217572863</v>
      </c>
      <c r="D64" s="30">
        <f t="shared" si="39"/>
        <v>148.11124243514573</v>
      </c>
      <c r="E64" s="30">
        <f t="shared" si="39"/>
        <v>214.26617983025659</v>
      </c>
      <c r="F64" s="30">
        <f t="shared" si="39"/>
        <v>285.68823977367549</v>
      </c>
      <c r="G64" s="30">
        <f t="shared" si="39"/>
        <v>357.11029971709428</v>
      </c>
      <c r="H64" s="30">
        <f t="shared" si="39"/>
        <v>422.37383621237075</v>
      </c>
      <c r="I64" s="30">
        <f t="shared" si="39"/>
        <v>492.76947558109919</v>
      </c>
      <c r="J64" s="30">
        <f t="shared" si="39"/>
        <v>563.16511494982763</v>
      </c>
      <c r="K64" s="30">
        <f t="shared" si="39"/>
        <v>633.56075431855606</v>
      </c>
      <c r="L64" s="26"/>
      <c r="M64" s="26"/>
      <c r="N64" s="27"/>
      <c r="O64" s="26"/>
      <c r="P64" s="26"/>
      <c r="Q64" s="26"/>
      <c r="R64" s="26"/>
      <c r="S64" s="26"/>
      <c r="T64" s="26"/>
      <c r="U64" s="26"/>
      <c r="V64" s="26"/>
      <c r="W64" s="27"/>
      <c r="X64" s="16"/>
      <c r="Y64" s="35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</row>
    <row r="65" spans="1:45" s="36" customFormat="1">
      <c r="A65" s="27" t="s">
        <v>97</v>
      </c>
      <c r="B65" s="27"/>
      <c r="C65" s="30">
        <f t="shared" ref="C65:K65" si="40">+C64+C63+C58+$D$20</f>
        <v>198.41526461831216</v>
      </c>
      <c r="D65" s="30">
        <f t="shared" si="40"/>
        <v>346.83052923662433</v>
      </c>
      <c r="E65" s="30">
        <f t="shared" si="40"/>
        <v>476.89133245540921</v>
      </c>
      <c r="F65" s="30">
        <f t="shared" si="40"/>
        <v>619.18844327387887</v>
      </c>
      <c r="G65" s="30">
        <f t="shared" si="40"/>
        <v>761.48555409234859</v>
      </c>
      <c r="H65" s="30">
        <f t="shared" si="40"/>
        <v>889.99288383141834</v>
      </c>
      <c r="I65" s="30">
        <f t="shared" si="40"/>
        <v>1029.9916978033216</v>
      </c>
      <c r="J65" s="30">
        <f t="shared" si="40"/>
        <v>1169.9905117752244</v>
      </c>
      <c r="K65" s="30">
        <f t="shared" si="40"/>
        <v>1309.9893257471276</v>
      </c>
      <c r="L65" s="26"/>
      <c r="M65" s="26"/>
      <c r="N65" s="37"/>
      <c r="O65" s="26"/>
      <c r="P65" s="26"/>
      <c r="Q65" s="26"/>
      <c r="R65" s="26"/>
      <c r="S65" s="26"/>
      <c r="T65" s="26"/>
      <c r="U65" s="26"/>
      <c r="V65" s="26"/>
      <c r="W65" s="27"/>
      <c r="X65" s="16"/>
      <c r="Y65" s="35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</row>
    <row r="66" spans="1:45">
      <c r="A66" s="37" t="s">
        <v>9</v>
      </c>
      <c r="B66" s="37"/>
      <c r="C66" s="30">
        <f t="shared" ref="C66:K66" si="41">+C64/$D$18</f>
        <v>9.2569526521966079</v>
      </c>
      <c r="D66" s="30">
        <f t="shared" si="41"/>
        <v>18.513905304393216</v>
      </c>
      <c r="E66" s="30">
        <f t="shared" si="41"/>
        <v>26.783272478782074</v>
      </c>
      <c r="F66" s="30">
        <f t="shared" si="41"/>
        <v>35.711029971709436</v>
      </c>
      <c r="G66" s="31">
        <f t="shared" si="41"/>
        <v>44.638787464636785</v>
      </c>
      <c r="H66" s="30">
        <f t="shared" si="41"/>
        <v>52.796729526546343</v>
      </c>
      <c r="I66" s="30">
        <f t="shared" si="41"/>
        <v>61.596184447637398</v>
      </c>
      <c r="J66" s="30">
        <f t="shared" si="41"/>
        <v>70.395639368728453</v>
      </c>
      <c r="K66" s="30">
        <f t="shared" si="41"/>
        <v>79.195094289819508</v>
      </c>
      <c r="L66" s="26"/>
      <c r="M66" s="26"/>
      <c r="N66" s="37"/>
      <c r="O66" s="7"/>
      <c r="P66" s="8"/>
      <c r="Q66" s="7"/>
      <c r="R66" s="7"/>
      <c r="S66" s="7"/>
      <c r="T66" s="7"/>
      <c r="U66" s="26"/>
      <c r="V66" s="26"/>
      <c r="W66" s="27"/>
      <c r="X66" s="7"/>
      <c r="Y66" s="8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</row>
    <row r="67" spans="1:45">
      <c r="A67" s="37" t="s">
        <v>44</v>
      </c>
      <c r="B67" s="37"/>
      <c r="C67" s="30">
        <f t="shared" ref="C67:K67" si="42">+C56/C66</f>
        <v>21.60538219373321</v>
      </c>
      <c r="D67" s="30">
        <f t="shared" si="42"/>
        <v>21.60538219373321</v>
      </c>
      <c r="E67" s="30">
        <f t="shared" si="42"/>
        <v>22.402042187911313</v>
      </c>
      <c r="F67" s="30">
        <f t="shared" si="42"/>
        <v>22.402042187911309</v>
      </c>
      <c r="G67" s="31">
        <f t="shared" si="42"/>
        <v>22.402042187911313</v>
      </c>
      <c r="H67" s="30">
        <f t="shared" si="42"/>
        <v>22.728680559591037</v>
      </c>
      <c r="I67" s="30">
        <f t="shared" si="42"/>
        <v>22.728680559591037</v>
      </c>
      <c r="J67" s="30">
        <f t="shared" si="42"/>
        <v>22.728680559591041</v>
      </c>
      <c r="K67" s="30">
        <f t="shared" si="42"/>
        <v>22.728680559591041</v>
      </c>
      <c r="L67" s="26"/>
      <c r="M67" s="26"/>
      <c r="N67" s="37"/>
      <c r="O67" s="7"/>
      <c r="P67" s="8"/>
      <c r="Q67" s="7"/>
      <c r="R67" s="7"/>
      <c r="S67" s="7"/>
      <c r="T67" s="7"/>
      <c r="U67" s="26"/>
      <c r="V67" s="26"/>
      <c r="W67" s="37"/>
      <c r="X67" s="7"/>
      <c r="Y67" s="8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>
      <c r="A68" s="37" t="s">
        <v>34</v>
      </c>
      <c r="B68" s="37"/>
      <c r="C68" s="30">
        <f t="shared" ref="C68:K68" si="43">IF(6000/C65&gt;12,12,6000/C65)</f>
        <v>12</v>
      </c>
      <c r="D68" s="30">
        <f t="shared" si="43"/>
        <v>12</v>
      </c>
      <c r="E68" s="30">
        <f t="shared" si="43"/>
        <v>12</v>
      </c>
      <c r="F68" s="30">
        <f t="shared" si="43"/>
        <v>9.6901033363539142</v>
      </c>
      <c r="G68" s="31">
        <f t="shared" si="43"/>
        <v>7.8793352910702161</v>
      </c>
      <c r="H68" s="30">
        <f t="shared" si="43"/>
        <v>6.7416269377009028</v>
      </c>
      <c r="I68" s="30">
        <f t="shared" si="43"/>
        <v>5.8252896725248249</v>
      </c>
      <c r="J68" s="30">
        <f t="shared" si="43"/>
        <v>5.1282467162030327</v>
      </c>
      <c r="K68" s="30">
        <f t="shared" si="43"/>
        <v>4.5801899924474681</v>
      </c>
      <c r="L68" s="26"/>
      <c r="M68" s="26"/>
      <c r="N68" s="37"/>
      <c r="O68" s="7"/>
      <c r="P68" s="8"/>
      <c r="Q68" s="7"/>
      <c r="R68" s="7"/>
      <c r="S68" s="7"/>
      <c r="T68" s="7"/>
      <c r="U68" s="26"/>
      <c r="V68" s="26"/>
      <c r="W68" s="37"/>
      <c r="X68" s="7"/>
      <c r="Y68" s="8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>
      <c r="A69" s="37" t="s">
        <v>74</v>
      </c>
      <c r="B69" s="37"/>
      <c r="C69" s="30">
        <f t="shared" ref="C69:K69" si="44">AVERAGE(C58:C62)</f>
        <v>17.635100470230526</v>
      </c>
      <c r="D69" s="30">
        <f t="shared" si="44"/>
        <v>35.270200940461052</v>
      </c>
      <c r="E69" s="30">
        <f t="shared" si="44"/>
        <v>50.628246141061496</v>
      </c>
      <c r="F69" s="30">
        <f t="shared" si="44"/>
        <v>67.504328188081985</v>
      </c>
      <c r="G69" s="31">
        <f t="shared" si="44"/>
        <v>84.380410235102488</v>
      </c>
      <c r="H69" s="30">
        <f t="shared" si="44"/>
        <v>99.516037083743981</v>
      </c>
      <c r="I69" s="30">
        <f t="shared" si="44"/>
        <v>116.10204326436799</v>
      </c>
      <c r="J69" s="30">
        <f t="shared" si="44"/>
        <v>132.68804944499198</v>
      </c>
      <c r="K69" s="30">
        <f t="shared" si="44"/>
        <v>149.27405562561597</v>
      </c>
      <c r="L69" s="26"/>
      <c r="M69" s="26"/>
      <c r="N69" s="37"/>
      <c r="O69" s="7"/>
      <c r="P69" s="8"/>
      <c r="Q69" s="7"/>
      <c r="R69" s="7"/>
      <c r="S69" s="7"/>
      <c r="T69" s="7"/>
      <c r="U69" s="26"/>
      <c r="V69" s="26"/>
      <c r="W69" s="37"/>
      <c r="X69" s="7"/>
      <c r="Y69" s="8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</row>
    <row r="70" spans="1:45">
      <c r="A70" s="37" t="s">
        <v>73</v>
      </c>
      <c r="B70" s="37"/>
      <c r="C70" s="30">
        <v>15</v>
      </c>
      <c r="D70" s="30">
        <v>15</v>
      </c>
      <c r="E70" s="30">
        <v>15</v>
      </c>
      <c r="F70" s="30">
        <v>15</v>
      </c>
      <c r="G70" s="30">
        <v>15</v>
      </c>
      <c r="H70" s="30">
        <v>15</v>
      </c>
      <c r="I70" s="30">
        <v>15</v>
      </c>
      <c r="J70" s="30">
        <v>15</v>
      </c>
      <c r="K70" s="30">
        <v>15</v>
      </c>
      <c r="L70" s="75"/>
      <c r="M70" s="75"/>
      <c r="N70" s="76"/>
      <c r="O70" s="7"/>
      <c r="P70" s="8"/>
      <c r="Q70" s="7"/>
      <c r="R70" s="7"/>
      <c r="S70" s="7"/>
      <c r="T70" s="7"/>
      <c r="U70" s="26"/>
      <c r="V70" s="26"/>
      <c r="W70" s="37"/>
      <c r="X70" s="7"/>
      <c r="Y70" s="8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</row>
    <row r="71" spans="1:45">
      <c r="A71" s="38" t="s">
        <v>43</v>
      </c>
      <c r="B71" s="38"/>
      <c r="C71" s="39">
        <f t="shared" ref="C71:K71" si="45">100-($N$7+$N$8*$D$22+$N$9*C67+$N$10*C56+$N$11*$D$22*C56+$N$12*C67^2+$N$13*C67*C56+$N$14*C56^2+$N$15*$D$22*C67*C56)</f>
        <v>16.356082261326961</v>
      </c>
      <c r="D71" s="39">
        <f t="shared" si="45"/>
        <v>19.537852636341157</v>
      </c>
      <c r="E71" s="39">
        <f t="shared" si="45"/>
        <v>22.636686742125264</v>
      </c>
      <c r="F71" s="39">
        <f t="shared" si="45"/>
        <v>25.95630996930133</v>
      </c>
      <c r="G71" s="39">
        <f t="shared" si="45"/>
        <v>29.355933196477395</v>
      </c>
      <c r="H71" s="39">
        <f t="shared" si="45"/>
        <v>32.741893480315582</v>
      </c>
      <c r="I71" s="39">
        <f t="shared" si="45"/>
        <v>36.292436160758953</v>
      </c>
      <c r="J71" s="39">
        <f t="shared" si="45"/>
        <v>39.922978841202323</v>
      </c>
      <c r="K71" s="39">
        <f t="shared" si="45"/>
        <v>43.63352152164569</v>
      </c>
      <c r="L71" s="21"/>
      <c r="M71" s="21"/>
      <c r="N71" s="21"/>
      <c r="O71" s="7"/>
      <c r="P71" s="8"/>
      <c r="Q71" s="7"/>
      <c r="R71" s="7"/>
      <c r="S71" s="7"/>
      <c r="T71" s="7"/>
      <c r="U71" s="26"/>
      <c r="V71" s="26"/>
      <c r="W71" s="37"/>
      <c r="X71" s="7"/>
      <c r="Y71" s="8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</row>
    <row r="72" spans="1:45" s="77" customFormat="1" ht="14.4" customHeight="1">
      <c r="A72" s="40"/>
      <c r="B72" s="40"/>
      <c r="C72" s="31"/>
      <c r="D72" s="31"/>
      <c r="E72" s="31"/>
      <c r="F72" s="31"/>
      <c r="G72" s="31"/>
      <c r="H72" s="31"/>
      <c r="I72" s="31"/>
      <c r="J72" s="31"/>
      <c r="K72" s="31"/>
      <c r="L72" s="21"/>
      <c r="M72" s="21"/>
      <c r="N72" s="21"/>
      <c r="P72" s="78"/>
      <c r="U72" s="75"/>
      <c r="V72" s="75"/>
      <c r="W72" s="76"/>
      <c r="Y72" s="78"/>
    </row>
    <row r="73" spans="1:45" s="12" customFormat="1">
      <c r="A73" s="40"/>
      <c r="B73" s="40"/>
      <c r="C73" s="31"/>
      <c r="D73" s="31"/>
      <c r="E73" s="31"/>
      <c r="F73" s="31"/>
      <c r="G73" s="31"/>
      <c r="H73" s="31"/>
      <c r="I73" s="31"/>
      <c r="J73" s="31"/>
      <c r="K73" s="31"/>
      <c r="L73" s="21"/>
      <c r="M73" s="21"/>
      <c r="N73" s="21"/>
      <c r="O73" s="21"/>
      <c r="P73" s="41"/>
      <c r="Q73" s="21"/>
      <c r="R73" s="21"/>
      <c r="S73" s="21"/>
      <c r="T73" s="21"/>
      <c r="U73" s="21"/>
      <c r="V73" s="21"/>
      <c r="W73" s="21"/>
      <c r="X73" s="21"/>
      <c r="Y73" s="4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</row>
    <row r="74" spans="1:45" s="12" customFormat="1">
      <c r="A74" s="29"/>
      <c r="B74" s="29"/>
      <c r="C74" s="42"/>
      <c r="D74" s="42"/>
      <c r="E74" s="42"/>
      <c r="F74" s="42"/>
      <c r="G74" s="42"/>
      <c r="H74" s="42"/>
      <c r="I74" s="42"/>
      <c r="J74" s="42"/>
      <c r="K74" s="42"/>
      <c r="L74" s="21"/>
      <c r="M74" s="21"/>
      <c r="N74" s="21"/>
      <c r="O74" s="21"/>
      <c r="P74" s="41"/>
      <c r="Q74" s="21"/>
      <c r="R74" s="21"/>
      <c r="S74" s="21"/>
      <c r="T74" s="21"/>
      <c r="U74" s="21"/>
      <c r="V74" s="21"/>
      <c r="W74" s="21"/>
      <c r="X74" s="21"/>
      <c r="Y74" s="4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</row>
    <row r="75" spans="1:45" s="12" customFormat="1">
      <c r="A75" s="29" t="s">
        <v>10</v>
      </c>
      <c r="B75" s="29"/>
      <c r="C75" s="42" t="s">
        <v>3</v>
      </c>
      <c r="D75" s="42" t="s">
        <v>3</v>
      </c>
      <c r="E75" s="42" t="s">
        <v>3</v>
      </c>
      <c r="F75" s="42" t="s">
        <v>3</v>
      </c>
      <c r="G75" s="42" t="s">
        <v>3</v>
      </c>
      <c r="H75" s="42" t="s">
        <v>3</v>
      </c>
      <c r="I75" s="42" t="s">
        <v>3</v>
      </c>
      <c r="J75" s="42" t="s">
        <v>3</v>
      </c>
      <c r="K75" s="42" t="s">
        <v>3</v>
      </c>
      <c r="L75" s="21"/>
      <c r="M75" s="21"/>
      <c r="N75" s="21"/>
      <c r="O75" s="21"/>
      <c r="P75" s="41"/>
      <c r="Q75" s="21"/>
      <c r="R75" s="21"/>
      <c r="S75" s="21"/>
      <c r="T75" s="21"/>
      <c r="U75" s="21"/>
      <c r="V75" s="21"/>
      <c r="W75" s="21"/>
      <c r="X75" s="21"/>
      <c r="Y75" s="4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</row>
    <row r="76" spans="1:45" s="12" customFormat="1">
      <c r="A76" s="29" t="s">
        <v>4</v>
      </c>
      <c r="B76" s="29"/>
      <c r="C76" s="31">
        <v>200</v>
      </c>
      <c r="D76" s="31">
        <v>400</v>
      </c>
      <c r="E76" s="31">
        <v>600</v>
      </c>
      <c r="F76" s="31">
        <v>800</v>
      </c>
      <c r="G76" s="31">
        <v>1000</v>
      </c>
      <c r="H76" s="31">
        <v>1200</v>
      </c>
      <c r="I76" s="31">
        <v>1400</v>
      </c>
      <c r="J76" s="31">
        <v>1600</v>
      </c>
      <c r="K76" s="31">
        <v>1800</v>
      </c>
      <c r="L76" s="21"/>
      <c r="M76" s="21"/>
      <c r="N76" s="21"/>
      <c r="O76" s="21"/>
      <c r="P76" s="41"/>
      <c r="Q76" s="21"/>
      <c r="R76" s="21"/>
      <c r="S76" s="21"/>
      <c r="T76" s="21"/>
      <c r="U76" s="21"/>
      <c r="V76" s="21"/>
      <c r="W76" s="21"/>
      <c r="X76" s="21"/>
      <c r="Y76" s="4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</row>
    <row r="77" spans="1:45" s="12" customFormat="1">
      <c r="A77" s="43"/>
      <c r="B77" s="43"/>
      <c r="C77" s="34"/>
      <c r="D77" s="34"/>
      <c r="E77" s="34"/>
      <c r="F77" s="34"/>
      <c r="G77" s="34"/>
      <c r="H77" s="34"/>
      <c r="I77" s="34"/>
      <c r="J77" s="34"/>
      <c r="K77" s="34"/>
      <c r="L77" s="26"/>
      <c r="M77" s="26"/>
      <c r="N77" s="21"/>
      <c r="O77" s="21"/>
      <c r="P77" s="41"/>
      <c r="Q77" s="21"/>
      <c r="R77" s="21"/>
      <c r="S77" s="21"/>
      <c r="T77" s="21"/>
      <c r="U77" s="21"/>
      <c r="V77" s="21"/>
      <c r="W77" s="21"/>
      <c r="X77" s="21"/>
      <c r="Y77" s="4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</row>
    <row r="78" spans="1:45" s="12" customFormat="1">
      <c r="A78" s="29" t="str">
        <f t="shared" ref="A78:A88" si="46">+A58</f>
        <v>Pløying</v>
      </c>
      <c r="B78" s="29"/>
      <c r="C78" s="30">
        <f t="shared" ref="C78:K78" si="47">C76/$C$6/$E$6/IF(C76&lt;501,0.73,IF(C76&lt;1001,0.78,0.8))/$D$14</f>
        <v>18.119881133579764</v>
      </c>
      <c r="D78" s="30">
        <f t="shared" si="47"/>
        <v>36.239762267159527</v>
      </c>
      <c r="E78" s="30">
        <f t="shared" si="47"/>
        <v>50.875050875050874</v>
      </c>
      <c r="F78" s="30">
        <f t="shared" si="47"/>
        <v>67.83340116673449</v>
      </c>
      <c r="G78" s="30">
        <f t="shared" si="47"/>
        <v>84.791751458418119</v>
      </c>
      <c r="H78" s="30">
        <f t="shared" si="47"/>
        <v>99.206349206349188</v>
      </c>
      <c r="I78" s="30">
        <f t="shared" si="47"/>
        <v>115.74074074074075</v>
      </c>
      <c r="J78" s="30">
        <f t="shared" si="47"/>
        <v>132.27513227513228</v>
      </c>
      <c r="K78" s="30">
        <f t="shared" si="47"/>
        <v>148.80952380952382</v>
      </c>
      <c r="L78" s="26"/>
      <c r="M78" s="26"/>
      <c r="N78" s="21"/>
      <c r="O78" s="21"/>
      <c r="P78" s="41"/>
      <c r="Q78" s="21"/>
      <c r="R78" s="21"/>
      <c r="S78" s="21"/>
      <c r="T78" s="21"/>
      <c r="U78" s="21"/>
      <c r="V78" s="21"/>
      <c r="W78" s="21"/>
      <c r="X78" s="21"/>
      <c r="Y78" s="4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</row>
    <row r="79" spans="1:45" s="12" customFormat="1">
      <c r="A79" s="29" t="str">
        <f t="shared" si="46"/>
        <v>Slodding</v>
      </c>
      <c r="B79" s="29"/>
      <c r="C79" s="30">
        <f t="shared" ref="C79:K79" si="48">IF($H$7=0,0,C76/$C$7/$E$7/IF(C76&lt;501,-0.0089*$E$7+0.8649,IF(C76&lt;1001,-0.0064*$E$7+0.8801,-0.0053*$E$7+0.8866)))/$D$14</f>
        <v>4.8887100794290257</v>
      </c>
      <c r="D79" s="30">
        <f t="shared" si="48"/>
        <v>9.7774201588580514</v>
      </c>
      <c r="E79" s="30">
        <f t="shared" si="48"/>
        <v>14.033495877702686</v>
      </c>
      <c r="F79" s="30">
        <f t="shared" si="48"/>
        <v>18.71132783693692</v>
      </c>
      <c r="G79" s="31">
        <f t="shared" si="48"/>
        <v>23.389159796171143</v>
      </c>
      <c r="H79" s="30">
        <f t="shared" si="48"/>
        <v>27.550351918552781</v>
      </c>
      <c r="I79" s="30">
        <f t="shared" si="48"/>
        <v>32.142077238311579</v>
      </c>
      <c r="J79" s="30">
        <f t="shared" si="48"/>
        <v>36.733802558070387</v>
      </c>
      <c r="K79" s="30">
        <f t="shared" si="48"/>
        <v>41.325527877829188</v>
      </c>
      <c r="L79" s="26"/>
      <c r="M79" s="26"/>
      <c r="N79" s="21"/>
      <c r="O79" s="21"/>
      <c r="P79" s="41"/>
      <c r="Q79" s="21"/>
      <c r="R79" s="21"/>
      <c r="S79" s="21"/>
      <c r="T79" s="21"/>
      <c r="U79" s="26"/>
      <c r="V79" s="26"/>
      <c r="W79" s="21"/>
      <c r="X79" s="21"/>
      <c r="Y79" s="4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</row>
    <row r="80" spans="1:45" s="12" customFormat="1">
      <c r="A80" s="29" t="str">
        <f t="shared" si="46"/>
        <v>Harving</v>
      </c>
      <c r="B80" s="29"/>
      <c r="C80" s="30">
        <f t="shared" ref="C80:K80" si="49">IF($H$8=0,0,C76/$C$8/$E$8/IF(C76&lt;501,-0.0089*$E$8+0.8649,IF(C76&lt;1001,-0.0064*$E$8+0.8801,-0.0053*$E$8+0.8866)))/$D$14</f>
        <v>4.6534104961861811</v>
      </c>
      <c r="D80" s="30">
        <f t="shared" si="49"/>
        <v>9.3068209923723622</v>
      </c>
      <c r="E80" s="30">
        <f t="shared" si="49"/>
        <v>13.413721767888289</v>
      </c>
      <c r="F80" s="30">
        <f t="shared" si="49"/>
        <v>17.884962357184381</v>
      </c>
      <c r="G80" s="31">
        <f t="shared" si="49"/>
        <v>22.356202946480479</v>
      </c>
      <c r="H80" s="30">
        <f t="shared" si="49"/>
        <v>26.379003632059064</v>
      </c>
      <c r="I80" s="30">
        <f t="shared" si="49"/>
        <v>30.775504237402242</v>
      </c>
      <c r="J80" s="30">
        <f t="shared" si="49"/>
        <v>35.172004842745416</v>
      </c>
      <c r="K80" s="30">
        <f t="shared" si="49"/>
        <v>39.568505448088594</v>
      </c>
      <c r="L80" s="26"/>
      <c r="M80" s="26"/>
      <c r="N80" s="21"/>
      <c r="O80" s="21"/>
      <c r="P80" s="41"/>
      <c r="Q80" s="21"/>
      <c r="R80" s="21"/>
      <c r="S80" s="21"/>
      <c r="T80" s="21"/>
      <c r="U80" s="26"/>
      <c r="V80" s="26"/>
      <c r="W80" s="21"/>
      <c r="X80" s="21"/>
      <c r="Y80" s="4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</row>
    <row r="81" spans="1:45" s="12" customFormat="1">
      <c r="A81" s="29" t="str">
        <f t="shared" si="46"/>
        <v>Såing</v>
      </c>
      <c r="B81" s="29"/>
      <c r="C81" s="30">
        <f t="shared" ref="C81:K81" si="50">IF($H$9=0,0,C76/$C$9/$E$9/IF(C76&lt;501,-0.0347*$E$9+0.5604,IF(C96&lt;1001,-0.0348*$E$9+0.5736,-0.0348*$E$9+0.579)))/$D$14</f>
        <v>17.526517621160817</v>
      </c>
      <c r="D81" s="30">
        <f t="shared" si="50"/>
        <v>35.053035242321634</v>
      </c>
      <c r="E81" s="30">
        <f t="shared" si="50"/>
        <v>50.763482781026639</v>
      </c>
      <c r="F81" s="30">
        <f t="shared" si="50"/>
        <v>67.684643708035523</v>
      </c>
      <c r="G81" s="31">
        <f t="shared" si="50"/>
        <v>84.605804635044393</v>
      </c>
      <c r="H81" s="30">
        <f t="shared" si="50"/>
        <v>100.04602116973808</v>
      </c>
      <c r="I81" s="30">
        <f t="shared" si="50"/>
        <v>116.72035803136112</v>
      </c>
      <c r="J81" s="30">
        <f t="shared" si="50"/>
        <v>133.39469489298415</v>
      </c>
      <c r="K81" s="30">
        <f t="shared" si="50"/>
        <v>150.06903175460712</v>
      </c>
      <c r="L81" s="26"/>
      <c r="M81" s="26"/>
      <c r="N81" s="21"/>
      <c r="O81" s="21"/>
      <c r="P81" s="41"/>
      <c r="Q81" s="21"/>
      <c r="R81" s="21"/>
      <c r="S81" s="21"/>
      <c r="T81" s="21"/>
      <c r="U81" s="26"/>
      <c r="V81" s="26"/>
      <c r="W81" s="21"/>
      <c r="X81" s="21"/>
      <c r="Y81" s="4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</row>
    <row r="82" spans="1:45" s="12" customFormat="1">
      <c r="A82" s="29" t="str">
        <f t="shared" si="46"/>
        <v>Tromling</v>
      </c>
      <c r="B82" s="29"/>
      <c r="C82" s="30">
        <f t="shared" ref="C82:K82" si="51">IF($H$10=0,0,C76/$C$10/$E$10/IF(C76&lt;501,-0.0099*$E$10+0.8474,IF(C76&lt;1001,-0.007*$E$10+0.8544,-0.0057*$E$10+0.8573)))/$D$14</f>
        <v>5.4269106388613482</v>
      </c>
      <c r="D82" s="30">
        <f t="shared" si="51"/>
        <v>10.853821277722696</v>
      </c>
      <c r="E82" s="30">
        <f t="shared" si="51"/>
        <v>15.599796578652612</v>
      </c>
      <c r="F82" s="30">
        <f t="shared" si="51"/>
        <v>20.79972877153682</v>
      </c>
      <c r="G82" s="31">
        <f t="shared" si="51"/>
        <v>25.999660964421022</v>
      </c>
      <c r="H82" s="30">
        <f t="shared" si="51"/>
        <v>30.634439236589774</v>
      </c>
      <c r="I82" s="30">
        <f t="shared" si="51"/>
        <v>35.740179109354742</v>
      </c>
      <c r="J82" s="30">
        <f t="shared" si="51"/>
        <v>40.845918982119706</v>
      </c>
      <c r="K82" s="30">
        <f t="shared" si="51"/>
        <v>45.951658854884663</v>
      </c>
      <c r="L82" s="26"/>
      <c r="M82" s="26"/>
      <c r="N82" s="21"/>
      <c r="O82" s="21"/>
      <c r="P82" s="41"/>
      <c r="Q82" s="21"/>
      <c r="R82" s="21"/>
      <c r="S82" s="21"/>
      <c r="T82" s="21"/>
      <c r="U82" s="26"/>
      <c r="V82" s="26"/>
      <c r="W82" s="21"/>
      <c r="X82" s="21"/>
      <c r="Y82" s="4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</row>
    <row r="83" spans="1:45" s="12" customFormat="1">
      <c r="A83" s="29" t="str">
        <f t="shared" si="46"/>
        <v>Annet kjøring for øvrig i året</v>
      </c>
      <c r="B83" s="29"/>
      <c r="C83" s="30">
        <f t="shared" ref="C83:K83" si="52">+C76*0.1++C78-C78*$D$19</f>
        <v>29.059940566789884</v>
      </c>
      <c r="D83" s="30">
        <f t="shared" si="52"/>
        <v>58.119881133579767</v>
      </c>
      <c r="E83" s="30">
        <f t="shared" si="52"/>
        <v>85.437525437525437</v>
      </c>
      <c r="F83" s="30">
        <f t="shared" si="52"/>
        <v>113.91670058336724</v>
      </c>
      <c r="G83" s="30">
        <f t="shared" si="52"/>
        <v>142.39587572920905</v>
      </c>
      <c r="H83" s="30">
        <f t="shared" si="52"/>
        <v>169.60317460317458</v>
      </c>
      <c r="I83" s="30">
        <f t="shared" si="52"/>
        <v>197.87037037037038</v>
      </c>
      <c r="J83" s="30">
        <f t="shared" si="52"/>
        <v>226.13756613756613</v>
      </c>
      <c r="K83" s="30">
        <f t="shared" si="52"/>
        <v>254.40476190476193</v>
      </c>
      <c r="L83" s="26"/>
      <c r="M83" s="26"/>
      <c r="N83" s="21"/>
      <c r="O83" s="21"/>
      <c r="P83" s="21"/>
      <c r="Q83" s="21"/>
      <c r="R83" s="21"/>
      <c r="S83" s="21"/>
      <c r="T83" s="21"/>
      <c r="U83" s="26"/>
      <c r="V83" s="26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</row>
    <row r="84" spans="1:45" s="12" customFormat="1">
      <c r="A84" s="29" t="str">
        <f t="shared" si="46"/>
        <v>Sum våronnkjøring inkludert 2 timer diverse per 100 dekar</v>
      </c>
      <c r="B84" s="29"/>
      <c r="C84" s="30">
        <f t="shared" ref="C84:K84" si="53">SUM(C79:C82)+C78*$D$19+0.02*C76</f>
        <v>45.555489402427256</v>
      </c>
      <c r="D84" s="30">
        <f t="shared" si="53"/>
        <v>91.110978804854511</v>
      </c>
      <c r="E84" s="30">
        <f t="shared" si="53"/>
        <v>131.24802244279567</v>
      </c>
      <c r="F84" s="30">
        <f t="shared" si="53"/>
        <v>174.9973632570609</v>
      </c>
      <c r="G84" s="30">
        <f t="shared" si="53"/>
        <v>218.74670407132609</v>
      </c>
      <c r="H84" s="30">
        <f t="shared" si="53"/>
        <v>258.21299056011429</v>
      </c>
      <c r="I84" s="30">
        <f t="shared" si="53"/>
        <v>301.24848898680006</v>
      </c>
      <c r="J84" s="30">
        <f t="shared" si="53"/>
        <v>344.28398741348582</v>
      </c>
      <c r="K84" s="30">
        <f t="shared" si="53"/>
        <v>387.31948584017147</v>
      </c>
      <c r="L84" s="26"/>
      <c r="M84" s="26"/>
      <c r="N84" s="21"/>
      <c r="O84" s="21"/>
      <c r="P84" s="21"/>
      <c r="Q84" s="21"/>
      <c r="R84" s="21"/>
      <c r="S84" s="21"/>
      <c r="T84" s="21"/>
      <c r="U84" s="26"/>
      <c r="V84" s="26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</row>
    <row r="85" spans="1:45" s="12" customFormat="1">
      <c r="A85" s="29" t="str">
        <f t="shared" si="46"/>
        <v>Sum kjøring traktor i året</v>
      </c>
      <c r="B85" s="29"/>
      <c r="C85" s="31">
        <f t="shared" ref="C85:K85" si="54">+C84+C83+C78+$D$20</f>
        <v>142.73531110279691</v>
      </c>
      <c r="D85" s="31">
        <f t="shared" si="54"/>
        <v>235.4706222055938</v>
      </c>
      <c r="E85" s="31">
        <f t="shared" si="54"/>
        <v>317.56059875537198</v>
      </c>
      <c r="F85" s="31">
        <f t="shared" si="54"/>
        <v>406.74746500716265</v>
      </c>
      <c r="G85" s="31">
        <f t="shared" si="54"/>
        <v>495.93433125895325</v>
      </c>
      <c r="H85" s="31">
        <f t="shared" si="54"/>
        <v>577.02251436963809</v>
      </c>
      <c r="I85" s="31">
        <f t="shared" si="54"/>
        <v>664.8596000979112</v>
      </c>
      <c r="J85" s="31">
        <f t="shared" si="54"/>
        <v>752.69668582618419</v>
      </c>
      <c r="K85" s="31">
        <f t="shared" si="54"/>
        <v>840.53377155445719</v>
      </c>
      <c r="L85" s="26"/>
      <c r="M85" s="26"/>
      <c r="N85" s="21"/>
      <c r="O85" s="21"/>
      <c r="P85" s="21"/>
      <c r="Q85" s="21"/>
      <c r="R85" s="21"/>
      <c r="S85" s="21"/>
      <c r="T85" s="21"/>
      <c r="U85" s="26"/>
      <c r="V85" s="26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</row>
    <row r="86" spans="1:45" s="12" customFormat="1">
      <c r="A86" s="29" t="str">
        <f t="shared" si="46"/>
        <v>Dager våronn</v>
      </c>
      <c r="B86" s="29"/>
      <c r="C86" s="31">
        <f t="shared" ref="C86:K86" si="55">+C84/$D$18</f>
        <v>5.694436175303407</v>
      </c>
      <c r="D86" s="31">
        <f t="shared" si="55"/>
        <v>11.388872350606814</v>
      </c>
      <c r="E86" s="31">
        <f t="shared" si="55"/>
        <v>16.406002805349459</v>
      </c>
      <c r="F86" s="31">
        <f t="shared" si="55"/>
        <v>21.874670407132612</v>
      </c>
      <c r="G86" s="31">
        <f t="shared" si="55"/>
        <v>27.343338008915762</v>
      </c>
      <c r="H86" s="31">
        <f t="shared" si="55"/>
        <v>32.276623820014287</v>
      </c>
      <c r="I86" s="31">
        <f t="shared" si="55"/>
        <v>37.656061123350007</v>
      </c>
      <c r="J86" s="31">
        <f t="shared" si="55"/>
        <v>43.035498426685727</v>
      </c>
      <c r="K86" s="31">
        <f t="shared" si="55"/>
        <v>48.414935730021433</v>
      </c>
      <c r="L86" s="26"/>
      <c r="M86" s="26"/>
      <c r="N86" s="21"/>
      <c r="O86" s="21"/>
      <c r="P86" s="21"/>
      <c r="Q86" s="21"/>
      <c r="R86" s="21"/>
      <c r="S86" s="21"/>
      <c r="T86" s="21"/>
      <c r="U86" s="26"/>
      <c r="V86" s="26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</row>
    <row r="87" spans="1:45" s="12" customFormat="1">
      <c r="A87" s="29" t="str">
        <f t="shared" si="46"/>
        <v>Kapasitet daa per. Dag</v>
      </c>
      <c r="B87" s="29"/>
      <c r="C87" s="31">
        <f t="shared" ref="C87:K87" si="56">+C76/C86</f>
        <v>35.122002221641154</v>
      </c>
      <c r="D87" s="31">
        <f t="shared" si="56"/>
        <v>35.122002221641154</v>
      </c>
      <c r="E87" s="31">
        <f t="shared" si="56"/>
        <v>36.571979605194244</v>
      </c>
      <c r="F87" s="31">
        <f t="shared" si="56"/>
        <v>36.571979605194244</v>
      </c>
      <c r="G87" s="31">
        <f t="shared" si="56"/>
        <v>36.571979605194251</v>
      </c>
      <c r="H87" s="31">
        <f t="shared" si="56"/>
        <v>37.178609717410922</v>
      </c>
      <c r="I87" s="31">
        <f t="shared" si="56"/>
        <v>37.178609717410914</v>
      </c>
      <c r="J87" s="31">
        <f t="shared" si="56"/>
        <v>37.178609717410914</v>
      </c>
      <c r="K87" s="31">
        <f t="shared" si="56"/>
        <v>37.178609717410922</v>
      </c>
      <c r="L87" s="26"/>
      <c r="M87" s="26"/>
      <c r="N87" s="21"/>
      <c r="O87" s="21"/>
      <c r="P87" s="21"/>
      <c r="Q87" s="21"/>
      <c r="R87" s="21"/>
      <c r="S87" s="21"/>
      <c r="T87" s="21"/>
      <c r="U87" s="26"/>
      <c r="V87" s="26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</row>
    <row r="88" spans="1:45" s="12" customFormat="1">
      <c r="A88" s="29" t="str">
        <f t="shared" si="46"/>
        <v>Levetid traktor</v>
      </c>
      <c r="B88" s="29"/>
      <c r="C88" s="31">
        <f t="shared" ref="C88:K88" si="57">IF(6000/C85&gt;12,12,6000/C85)</f>
        <v>12</v>
      </c>
      <c r="D88" s="31">
        <f t="shared" si="57"/>
        <v>12</v>
      </c>
      <c r="E88" s="31">
        <f t="shared" si="57"/>
        <v>12</v>
      </c>
      <c r="F88" s="31">
        <f t="shared" si="57"/>
        <v>12</v>
      </c>
      <c r="G88" s="31">
        <f t="shared" si="57"/>
        <v>12</v>
      </c>
      <c r="H88" s="31">
        <f t="shared" si="57"/>
        <v>10.398207783199991</v>
      </c>
      <c r="I88" s="31">
        <f t="shared" si="57"/>
        <v>9.0244617045710172</v>
      </c>
      <c r="J88" s="31">
        <f t="shared" si="57"/>
        <v>7.9713384062721175</v>
      </c>
      <c r="K88" s="31">
        <f t="shared" si="57"/>
        <v>7.1383211514556821</v>
      </c>
      <c r="L88" s="26"/>
      <c r="M88" s="26"/>
      <c r="N88" s="21"/>
      <c r="O88" s="21"/>
      <c r="P88" s="21"/>
      <c r="Q88" s="21"/>
      <c r="R88" s="21"/>
      <c r="S88" s="21"/>
      <c r="T88" s="21"/>
      <c r="U88" s="26"/>
      <c r="V88" s="26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</row>
    <row r="89" spans="1:45" s="12" customFormat="1">
      <c r="A89" s="37" t="s">
        <v>74</v>
      </c>
      <c r="B89" s="37"/>
      <c r="C89" s="30">
        <f t="shared" ref="C89:K89" si="58">AVERAGE(C78:C82)</f>
        <v>10.123085993843429</v>
      </c>
      <c r="D89" s="30">
        <f t="shared" si="58"/>
        <v>20.246171987686857</v>
      </c>
      <c r="E89" s="30">
        <f t="shared" si="58"/>
        <v>28.937109576064223</v>
      </c>
      <c r="F89" s="30">
        <f t="shared" si="58"/>
        <v>38.582812768085624</v>
      </c>
      <c r="G89" s="31">
        <f t="shared" si="58"/>
        <v>48.228515960107032</v>
      </c>
      <c r="H89" s="30">
        <f t="shared" si="58"/>
        <v>56.763233032657773</v>
      </c>
      <c r="I89" s="30">
        <f t="shared" si="58"/>
        <v>66.223771871434082</v>
      </c>
      <c r="J89" s="30">
        <f t="shared" si="58"/>
        <v>75.684310710210383</v>
      </c>
      <c r="K89" s="30">
        <f t="shared" si="58"/>
        <v>85.144849548986684</v>
      </c>
      <c r="L89" s="26"/>
      <c r="M89" s="26"/>
      <c r="N89" s="21"/>
      <c r="O89" s="21"/>
      <c r="P89" s="21"/>
      <c r="Q89" s="21"/>
      <c r="R89" s="21"/>
      <c r="S89" s="21"/>
      <c r="T89" s="21"/>
      <c r="U89" s="26"/>
      <c r="V89" s="26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</row>
    <row r="90" spans="1:45" s="12" customFormat="1">
      <c r="A90" s="29" t="str">
        <f>+A70</f>
        <v>Levetid redskaper</v>
      </c>
      <c r="B90" s="29"/>
      <c r="C90" s="30">
        <v>15</v>
      </c>
      <c r="D90" s="30">
        <v>15</v>
      </c>
      <c r="E90" s="30">
        <v>15</v>
      </c>
      <c r="F90" s="30">
        <v>15</v>
      </c>
      <c r="G90" s="30">
        <v>15</v>
      </c>
      <c r="H90" s="30">
        <v>15</v>
      </c>
      <c r="I90" s="30">
        <v>15</v>
      </c>
      <c r="J90" s="30">
        <v>15</v>
      </c>
      <c r="K90" s="30">
        <v>15</v>
      </c>
      <c r="L90" s="75"/>
      <c r="M90" s="75"/>
      <c r="N90" s="76"/>
      <c r="O90" s="21"/>
      <c r="P90" s="21"/>
      <c r="Q90" s="21"/>
      <c r="R90" s="21"/>
      <c r="S90" s="21"/>
      <c r="T90" s="21"/>
      <c r="U90" s="26"/>
      <c r="V90" s="26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</row>
    <row r="91" spans="1:45" s="12" customFormat="1">
      <c r="A91" s="38" t="s">
        <v>43</v>
      </c>
      <c r="B91" s="38"/>
      <c r="C91" s="39">
        <f t="shared" ref="C91:K91" si="59">100-($N$7+$N$8*$D$22+$N$9*C87+$N$10*C76+$N$11*$D$22*C76+$N$12*C87^2+$N$13*C87*C76+$N$14*C76^2+$N$15*$D$22*C87*C76)</f>
        <v>14.523141693719623</v>
      </c>
      <c r="D91" s="39">
        <f t="shared" si="59"/>
        <v>17.32915003195798</v>
      </c>
      <c r="E91" s="39">
        <f t="shared" si="59"/>
        <v>19.960634558716478</v>
      </c>
      <c r="F91" s="39">
        <f t="shared" si="59"/>
        <v>22.886333525692081</v>
      </c>
      <c r="G91" s="39">
        <f t="shared" si="59"/>
        <v>25.892032492667667</v>
      </c>
      <c r="H91" s="39">
        <f t="shared" si="59"/>
        <v>28.821959078868744</v>
      </c>
      <c r="I91" s="39">
        <f t="shared" si="59"/>
        <v>31.970793728724715</v>
      </c>
      <c r="J91" s="39">
        <f t="shared" si="59"/>
        <v>35.199628378580684</v>
      </c>
      <c r="K91" s="39">
        <f t="shared" si="59"/>
        <v>38.50846302843668</v>
      </c>
      <c r="L91" s="21"/>
      <c r="M91" s="21"/>
      <c r="N91" s="21"/>
      <c r="O91" s="21"/>
      <c r="P91" s="21"/>
      <c r="Q91" s="21"/>
      <c r="R91" s="21"/>
      <c r="S91" s="21"/>
      <c r="T91" s="21"/>
      <c r="U91" s="26"/>
      <c r="V91" s="26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</row>
    <row r="92" spans="1:45" s="77" customFormat="1" ht="14.4" customHeight="1">
      <c r="A92" s="40"/>
      <c r="B92" s="40"/>
      <c r="C92" s="31"/>
      <c r="D92" s="31"/>
      <c r="E92" s="31"/>
      <c r="F92" s="31"/>
      <c r="G92" s="31"/>
      <c r="H92" s="31"/>
      <c r="I92" s="31"/>
      <c r="J92" s="31"/>
      <c r="K92" s="31"/>
      <c r="L92" s="21"/>
      <c r="M92" s="21"/>
      <c r="N92" s="21"/>
      <c r="P92" s="78"/>
      <c r="U92" s="75"/>
      <c r="V92" s="75"/>
      <c r="W92" s="76"/>
      <c r="Y92" s="78"/>
    </row>
    <row r="93" spans="1:45" s="12" customFormat="1">
      <c r="A93" s="29"/>
      <c r="B93" s="29"/>
      <c r="C93" s="42"/>
      <c r="D93" s="42"/>
      <c r="E93" s="42"/>
      <c r="F93" s="42"/>
      <c r="G93" s="42"/>
      <c r="H93" s="42"/>
      <c r="I93" s="42"/>
      <c r="J93" s="42"/>
      <c r="K93" s="42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</row>
    <row r="94" spans="1:45" s="12" customFormat="1">
      <c r="A94" s="29"/>
      <c r="B94" s="29"/>
      <c r="C94" s="42"/>
      <c r="D94" s="42"/>
      <c r="E94" s="42"/>
      <c r="F94" s="42"/>
      <c r="G94" s="42"/>
      <c r="H94" s="42"/>
      <c r="I94" s="42"/>
      <c r="J94" s="42"/>
      <c r="K94" s="42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</row>
    <row r="95" spans="1:45" s="12" customFormat="1">
      <c r="A95" s="29" t="s">
        <v>11</v>
      </c>
      <c r="B95" s="29"/>
      <c r="C95" s="42" t="s">
        <v>3</v>
      </c>
      <c r="D95" s="42" t="s">
        <v>3</v>
      </c>
      <c r="E95" s="42" t="s">
        <v>3</v>
      </c>
      <c r="F95" s="42" t="s">
        <v>3</v>
      </c>
      <c r="G95" s="42" t="s">
        <v>3</v>
      </c>
      <c r="H95" s="42" t="s">
        <v>3</v>
      </c>
      <c r="I95" s="42" t="s">
        <v>3</v>
      </c>
      <c r="J95" s="42" t="s">
        <v>3</v>
      </c>
      <c r="K95" s="42" t="s">
        <v>3</v>
      </c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</row>
    <row r="96" spans="1:45" s="12" customFormat="1">
      <c r="A96" s="29" t="s">
        <v>4</v>
      </c>
      <c r="B96" s="29"/>
      <c r="C96" s="31">
        <v>200</v>
      </c>
      <c r="D96" s="31">
        <v>400</v>
      </c>
      <c r="E96" s="31">
        <v>600</v>
      </c>
      <c r="F96" s="31">
        <v>800</v>
      </c>
      <c r="G96" s="31">
        <v>1000</v>
      </c>
      <c r="H96" s="31">
        <v>1200</v>
      </c>
      <c r="I96" s="31">
        <v>1400</v>
      </c>
      <c r="J96" s="31">
        <v>1600</v>
      </c>
      <c r="K96" s="31">
        <v>1800</v>
      </c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</row>
    <row r="97" spans="1:45" s="12" customFormat="1">
      <c r="A97" s="43"/>
      <c r="B97" s="43"/>
      <c r="C97" s="34"/>
      <c r="D97" s="34"/>
      <c r="E97" s="34"/>
      <c r="F97" s="34"/>
      <c r="G97" s="34"/>
      <c r="H97" s="34"/>
      <c r="I97" s="34"/>
      <c r="J97" s="34"/>
      <c r="K97" s="34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</row>
    <row r="98" spans="1:45" s="12" customFormat="1">
      <c r="A98" s="29" t="str">
        <f t="shared" ref="A98:A108" si="60">+A58</f>
        <v>Pløying</v>
      </c>
      <c r="B98" s="79"/>
      <c r="C98" s="30">
        <f t="shared" ref="C98:K98" si="61">C96/$C$6/$F$6/IF(C96&lt;501,0.73,IF(C96&lt;1001,0.78,0.8))/$D$14</f>
        <v>12.079920755719842</v>
      </c>
      <c r="D98" s="30">
        <f t="shared" si="61"/>
        <v>24.159841511439684</v>
      </c>
      <c r="E98" s="30">
        <f t="shared" si="61"/>
        <v>33.916700583367245</v>
      </c>
      <c r="F98" s="30">
        <f t="shared" si="61"/>
        <v>45.222267444489667</v>
      </c>
      <c r="G98" s="30">
        <f t="shared" si="61"/>
        <v>56.527834305612082</v>
      </c>
      <c r="H98" s="30">
        <f t="shared" si="61"/>
        <v>66.137566137566125</v>
      </c>
      <c r="I98" s="30">
        <f t="shared" si="61"/>
        <v>77.160493827160494</v>
      </c>
      <c r="J98" s="30">
        <f t="shared" si="61"/>
        <v>88.183421516754848</v>
      </c>
      <c r="K98" s="30">
        <f t="shared" si="61"/>
        <v>99.206349206349188</v>
      </c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</row>
    <row r="99" spans="1:45" s="12" customFormat="1">
      <c r="A99" s="29" t="str">
        <f t="shared" si="60"/>
        <v>Slodding</v>
      </c>
      <c r="B99" s="79"/>
      <c r="C99" s="30">
        <f t="shared" ref="C99:K99" si="62">IF($I$7=0,0,C96/$C$7/$F$7/IF(C96&lt;501,-0.0089*$F$7+0.8649,IF(C96&lt;1001,-0.0064*$F$7+0.8801,-0.0053*$F$7+0.8866)))/$D$14</f>
        <v>4.020508517455335</v>
      </c>
      <c r="D99" s="30">
        <f>IF($I$7=0,0,D96/$C$7/$F$7/IF(D96&lt;501,-0.0089*$F$7+0.8649,IF(D96&lt;1001,-0.0064*$F$7+0.8801,-0.0053*$F$7+0.8866)))/$D$14</f>
        <v>8.04101703491067</v>
      </c>
      <c r="E99" s="30">
        <f t="shared" si="62"/>
        <v>11.459056184921298</v>
      </c>
      <c r="F99" s="30">
        <f t="shared" si="62"/>
        <v>15.278741579895065</v>
      </c>
      <c r="G99" s="31">
        <f t="shared" si="62"/>
        <v>19.098426974868833</v>
      </c>
      <c r="H99" s="30">
        <f t="shared" si="62"/>
        <v>22.43031724745375</v>
      </c>
      <c r="I99" s="30">
        <f t="shared" si="62"/>
        <v>26.168703455362706</v>
      </c>
      <c r="J99" s="30">
        <f t="shared" si="62"/>
        <v>29.907089663271666</v>
      </c>
      <c r="K99" s="30">
        <f t="shared" si="62"/>
        <v>33.645475871180629</v>
      </c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</row>
    <row r="100" spans="1:45" s="12" customFormat="1">
      <c r="A100" s="29" t="str">
        <f t="shared" si="60"/>
        <v>Harving</v>
      </c>
      <c r="B100" s="79"/>
      <c r="C100" s="30">
        <f t="shared" ref="C100:K100" si="63">IF($I$8=0,0,C96/$C$8/$F$8/IF(C96&lt;501,-0.0089*$F$8+0.8649,IF(C96&lt;1001,-0.0064*$F$8+0.8801,-0.0053*$F$8+0.8866)))/$D$14</f>
        <v>3.7014088302289623</v>
      </c>
      <c r="D100" s="30">
        <f t="shared" si="63"/>
        <v>7.4028176604579246</v>
      </c>
      <c r="E100" s="30">
        <f t="shared" si="63"/>
        <v>10.595254650323488</v>
      </c>
      <c r="F100" s="30">
        <f t="shared" si="63"/>
        <v>14.127006200431314</v>
      </c>
      <c r="G100" s="30">
        <f t="shared" si="63"/>
        <v>17.658757750539145</v>
      </c>
      <c r="H100" s="30">
        <f t="shared" si="63"/>
        <v>20.776247347457545</v>
      </c>
      <c r="I100" s="30">
        <f t="shared" si="63"/>
        <v>24.23895523870047</v>
      </c>
      <c r="J100" s="30">
        <f t="shared" si="63"/>
        <v>27.701663129943391</v>
      </c>
      <c r="K100" s="30">
        <f t="shared" si="63"/>
        <v>31.164371021186312</v>
      </c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</row>
    <row r="101" spans="1:45" s="12" customFormat="1">
      <c r="A101" s="29" t="str">
        <f t="shared" si="60"/>
        <v>Såing</v>
      </c>
      <c r="B101" s="79"/>
      <c r="C101" s="30">
        <f t="shared" ref="C101:K101" si="64">IF($I$9=0,0,C96/$C$9/$F$9/IF(C96&lt;501,-0.0347*$F$9+0.5604,IF(C96&lt;1001,-0.0348*$F$9+0.5736,-0.0348*$F$9+0.579)))/$D$14</f>
        <v>16.586966293625796</v>
      </c>
      <c r="D101" s="30">
        <f t="shared" si="64"/>
        <v>33.173932587251592</v>
      </c>
      <c r="E101" s="30">
        <f t="shared" si="64"/>
        <v>47.410441675674647</v>
      </c>
      <c r="F101" s="30">
        <f t="shared" si="64"/>
        <v>63.213922234232875</v>
      </c>
      <c r="G101" s="31">
        <f t="shared" si="64"/>
        <v>79.017402792791088</v>
      </c>
      <c r="H101" s="30">
        <f t="shared" si="64"/>
        <v>92.894499716671788</v>
      </c>
      <c r="I101" s="30">
        <f t="shared" si="64"/>
        <v>108.37691633611709</v>
      </c>
      <c r="J101" s="30">
        <f t="shared" si="64"/>
        <v>123.85933295556239</v>
      </c>
      <c r="K101" s="30">
        <f t="shared" si="64"/>
        <v>139.34174957500767</v>
      </c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</row>
    <row r="102" spans="1:45" s="12" customFormat="1">
      <c r="A102" s="29" t="str">
        <f t="shared" si="60"/>
        <v>Tromling</v>
      </c>
      <c r="B102" s="79"/>
      <c r="C102" s="30">
        <f t="shared" ref="C102:K102" si="65">IF($I$10=0,0,C96/$C$10/$F$10/IF(C96&lt;501,-0.0099*$F$10+0.8474,IF(C96&lt;1001,-0.007*$F$10+0.8544,-0.0057*$F$10+0.8573)))/$D$14</f>
        <v>4.7445515645573932</v>
      </c>
      <c r="D102" s="30">
        <f t="shared" si="65"/>
        <v>9.4891031291147865</v>
      </c>
      <c r="E102" s="30">
        <f t="shared" si="65"/>
        <v>13.55104441287051</v>
      </c>
      <c r="F102" s="30">
        <f t="shared" si="65"/>
        <v>18.068059217160684</v>
      </c>
      <c r="G102" s="31">
        <f t="shared" si="65"/>
        <v>22.585074021450851</v>
      </c>
      <c r="H102" s="30">
        <f t="shared" si="65"/>
        <v>26.539621498553089</v>
      </c>
      <c r="I102" s="30">
        <f t="shared" si="65"/>
        <v>30.962891748311939</v>
      </c>
      <c r="J102" s="30">
        <f t="shared" si="65"/>
        <v>35.38616199807079</v>
      </c>
      <c r="K102" s="30">
        <f t="shared" si="65"/>
        <v>39.809432247829641</v>
      </c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</row>
    <row r="103" spans="1:45" s="12" customFormat="1">
      <c r="A103" s="29" t="str">
        <f t="shared" si="60"/>
        <v>Annet kjøring for øvrig i året</v>
      </c>
      <c r="B103" s="79"/>
      <c r="C103" s="30">
        <f t="shared" ref="C103:K103" si="66">+C96*0.1++C98-C98*$D$19</f>
        <v>26.03996037785992</v>
      </c>
      <c r="D103" s="30">
        <f t="shared" si="66"/>
        <v>52.07992075571984</v>
      </c>
      <c r="E103" s="30">
        <f t="shared" si="66"/>
        <v>76.958350291683615</v>
      </c>
      <c r="F103" s="30">
        <f t="shared" si="66"/>
        <v>102.61113372224483</v>
      </c>
      <c r="G103" s="30">
        <f t="shared" si="66"/>
        <v>128.26391715280604</v>
      </c>
      <c r="H103" s="30">
        <f t="shared" si="66"/>
        <v>153.06878306878306</v>
      </c>
      <c r="I103" s="30">
        <f t="shared" si="66"/>
        <v>178.58024691358025</v>
      </c>
      <c r="J103" s="30">
        <f t="shared" si="66"/>
        <v>204.09171075837742</v>
      </c>
      <c r="K103" s="30">
        <f t="shared" si="66"/>
        <v>229.60317460317458</v>
      </c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</row>
    <row r="104" spans="1:45" s="12" customFormat="1">
      <c r="A104" s="29" t="str">
        <f t="shared" si="60"/>
        <v>Sum våronnkjøring inkludert 2 timer diverse per 100 dekar</v>
      </c>
      <c r="B104" s="79"/>
      <c r="C104" s="31">
        <f t="shared" ref="C104:K104" si="67">SUM(C99:C102)+C98*$D$19+0.02*C96</f>
        <v>39.093395583727407</v>
      </c>
      <c r="D104" s="31">
        <f t="shared" si="67"/>
        <v>78.186791167454814</v>
      </c>
      <c r="E104" s="31">
        <f t="shared" si="67"/>
        <v>111.97414721547355</v>
      </c>
      <c r="F104" s="31">
        <f t="shared" si="67"/>
        <v>149.29886295396477</v>
      </c>
      <c r="G104" s="31">
        <f t="shared" si="67"/>
        <v>186.62357869245596</v>
      </c>
      <c r="H104" s="31">
        <f t="shared" si="67"/>
        <v>219.70946887891924</v>
      </c>
      <c r="I104" s="31">
        <f t="shared" si="67"/>
        <v>256.32771369207245</v>
      </c>
      <c r="J104" s="31">
        <f t="shared" si="67"/>
        <v>292.94595850522569</v>
      </c>
      <c r="K104" s="31">
        <f t="shared" si="67"/>
        <v>329.56420331837887</v>
      </c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</row>
    <row r="105" spans="1:45" s="12" customFormat="1">
      <c r="A105" s="29" t="str">
        <f t="shared" si="60"/>
        <v>Sum kjøring traktor i året</v>
      </c>
      <c r="B105" s="79"/>
      <c r="C105" s="31">
        <f t="shared" ref="C105:K105" si="68">+C104+C103+C98+$D$20</f>
        <v>127.21327671730717</v>
      </c>
      <c r="D105" s="31">
        <f t="shared" si="68"/>
        <v>204.42655343461433</v>
      </c>
      <c r="E105" s="31">
        <f t="shared" si="68"/>
        <v>272.8491980905244</v>
      </c>
      <c r="F105" s="31">
        <f t="shared" si="68"/>
        <v>347.13226412069929</v>
      </c>
      <c r="G105" s="31">
        <f t="shared" si="68"/>
        <v>421.41533015087413</v>
      </c>
      <c r="H105" s="31">
        <f t="shared" si="68"/>
        <v>488.91581808526843</v>
      </c>
      <c r="I105" s="31">
        <f t="shared" si="68"/>
        <v>562.06845443281316</v>
      </c>
      <c r="J105" s="31">
        <f t="shared" si="68"/>
        <v>635.22109078035794</v>
      </c>
      <c r="K105" s="31">
        <f t="shared" si="68"/>
        <v>708.37372712790261</v>
      </c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</row>
    <row r="106" spans="1:45" s="12" customFormat="1">
      <c r="A106" s="29" t="str">
        <f t="shared" si="60"/>
        <v>Dager våronn</v>
      </c>
      <c r="B106" s="79"/>
      <c r="C106" s="31">
        <f t="shared" ref="C106:K106" si="69">+C104/$D$18</f>
        <v>4.8866744479659259</v>
      </c>
      <c r="D106" s="31">
        <f t="shared" si="69"/>
        <v>9.7733488959318517</v>
      </c>
      <c r="E106" s="31">
        <f t="shared" si="69"/>
        <v>13.996768401934194</v>
      </c>
      <c r="F106" s="31">
        <f t="shared" si="69"/>
        <v>18.662357869245596</v>
      </c>
      <c r="G106" s="31">
        <f t="shared" si="69"/>
        <v>23.327947336556996</v>
      </c>
      <c r="H106" s="31">
        <f t="shared" si="69"/>
        <v>27.463683609864905</v>
      </c>
      <c r="I106" s="31">
        <f t="shared" si="69"/>
        <v>32.040964211509056</v>
      </c>
      <c r="J106" s="31">
        <f t="shared" si="69"/>
        <v>36.618244813153211</v>
      </c>
      <c r="K106" s="31">
        <f t="shared" si="69"/>
        <v>41.195525414797359</v>
      </c>
      <c r="L106" s="21"/>
      <c r="M106" s="21"/>
      <c r="N106" s="21"/>
      <c r="O106" s="21"/>
      <c r="P106" s="41"/>
      <c r="Q106" s="21"/>
      <c r="R106" s="21"/>
      <c r="S106" s="21"/>
      <c r="T106" s="21"/>
      <c r="U106" s="21"/>
      <c r="V106" s="21"/>
      <c r="W106" s="21"/>
      <c r="X106" s="21"/>
      <c r="Y106" s="4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</row>
    <row r="107" spans="1:45" s="12" customFormat="1">
      <c r="A107" s="29" t="str">
        <f t="shared" si="60"/>
        <v>Kapasitet daa per. Dag</v>
      </c>
      <c r="B107" s="29"/>
      <c r="C107" s="31">
        <f t="shared" ref="C107:K107" si="70">+C96/C106</f>
        <v>40.927629235307428</v>
      </c>
      <c r="D107" s="31">
        <f t="shared" si="70"/>
        <v>40.927629235307428</v>
      </c>
      <c r="E107" s="31">
        <f t="shared" si="70"/>
        <v>42.867037788314541</v>
      </c>
      <c r="F107" s="31">
        <f t="shared" si="70"/>
        <v>42.867037788314526</v>
      </c>
      <c r="G107" s="31">
        <f t="shared" si="70"/>
        <v>42.867037788314526</v>
      </c>
      <c r="H107" s="31">
        <f t="shared" si="70"/>
        <v>43.694065845157134</v>
      </c>
      <c r="I107" s="31">
        <f t="shared" si="70"/>
        <v>43.694065845157134</v>
      </c>
      <c r="J107" s="31">
        <f t="shared" si="70"/>
        <v>43.694065845157134</v>
      </c>
      <c r="K107" s="31">
        <f t="shared" si="70"/>
        <v>43.694065845157134</v>
      </c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</row>
    <row r="108" spans="1:45" s="12" customFormat="1">
      <c r="A108" s="29" t="str">
        <f t="shared" si="60"/>
        <v>Levetid traktor</v>
      </c>
      <c r="B108" s="29"/>
      <c r="C108" s="31">
        <f t="shared" ref="C108:K108" si="71">IF(6000/C105&gt;12,12,6000/C105)</f>
        <v>12</v>
      </c>
      <c r="D108" s="31">
        <f t="shared" si="71"/>
        <v>12</v>
      </c>
      <c r="E108" s="31">
        <f t="shared" si="71"/>
        <v>12</v>
      </c>
      <c r="F108" s="31">
        <f t="shared" si="71"/>
        <v>12</v>
      </c>
      <c r="G108" s="31">
        <f t="shared" si="71"/>
        <v>12</v>
      </c>
      <c r="H108" s="31">
        <f t="shared" si="71"/>
        <v>12</v>
      </c>
      <c r="I108" s="31">
        <f t="shared" si="71"/>
        <v>10.674856332321012</v>
      </c>
      <c r="J108" s="31">
        <f t="shared" si="71"/>
        <v>9.4455302052850687</v>
      </c>
      <c r="K108" s="31">
        <f t="shared" si="71"/>
        <v>8.4701052145552698</v>
      </c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</row>
    <row r="109" spans="1:45" s="12" customFormat="1">
      <c r="A109" s="37" t="s">
        <v>74</v>
      </c>
      <c r="B109" s="37"/>
      <c r="C109" s="30">
        <f t="shared" ref="C109:K109" si="72">AVERAGE(C98:C102)</f>
        <v>8.2266711923174647</v>
      </c>
      <c r="D109" s="30">
        <f t="shared" si="72"/>
        <v>16.453342384634929</v>
      </c>
      <c r="E109" s="30">
        <f t="shared" si="72"/>
        <v>23.386499501431437</v>
      </c>
      <c r="F109" s="30">
        <f t="shared" si="72"/>
        <v>31.181999335241919</v>
      </c>
      <c r="G109" s="31">
        <f t="shared" si="72"/>
        <v>38.977499169052393</v>
      </c>
      <c r="H109" s="30">
        <f t="shared" si="72"/>
        <v>45.755650389540463</v>
      </c>
      <c r="I109" s="30">
        <f t="shared" si="72"/>
        <v>53.381592121130538</v>
      </c>
      <c r="J109" s="30">
        <f t="shared" si="72"/>
        <v>61.00753385272062</v>
      </c>
      <c r="K109" s="30">
        <f t="shared" si="72"/>
        <v>68.633475584310688</v>
      </c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</row>
    <row r="110" spans="1:45" s="12" customFormat="1">
      <c r="A110" s="29" t="str">
        <f>+A70</f>
        <v>Levetid redskaper</v>
      </c>
      <c r="B110" s="29"/>
      <c r="C110" s="30">
        <v>15</v>
      </c>
      <c r="D110" s="30">
        <v>15</v>
      </c>
      <c r="E110" s="30">
        <v>15</v>
      </c>
      <c r="F110" s="30">
        <v>15</v>
      </c>
      <c r="G110" s="30">
        <v>15</v>
      </c>
      <c r="H110" s="30">
        <v>15</v>
      </c>
      <c r="I110" s="30">
        <v>15</v>
      </c>
      <c r="J110" s="30">
        <v>15</v>
      </c>
      <c r="K110" s="30">
        <v>15</v>
      </c>
      <c r="L110" s="75"/>
      <c r="M110" s="75"/>
      <c r="N110" s="76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</row>
    <row r="111" spans="1:45" s="12" customFormat="1">
      <c r="A111" s="38" t="s">
        <v>43</v>
      </c>
      <c r="B111" s="38"/>
      <c r="C111" s="39">
        <f t="shared" ref="C111:K111" si="73">100-($N$7+$N$8*$D$22+$N$9*C107+$N$10*C96+$N$11*$D$22*C96+$N$12*C107^2+$N$13*C107*C96+$N$14*C96^2+$N$15*$D$22*C107*C96)</f>
        <v>13.853311463174521</v>
      </c>
      <c r="D111" s="39">
        <f t="shared" si="73"/>
        <v>16.497923370432957</v>
      </c>
      <c r="E111" s="39">
        <f t="shared" si="73"/>
        <v>18.906669656644155</v>
      </c>
      <c r="F111" s="39">
        <f t="shared" si="73"/>
        <v>21.657366006129038</v>
      </c>
      <c r="G111" s="39">
        <f t="shared" si="73"/>
        <v>24.488062355613877</v>
      </c>
      <c r="H111" s="39">
        <f t="shared" si="73"/>
        <v>27.197484453132247</v>
      </c>
      <c r="I111" s="39">
        <f t="shared" si="73"/>
        <v>30.165189422636885</v>
      </c>
      <c r="J111" s="39">
        <f t="shared" si="73"/>
        <v>33.212894392141507</v>
      </c>
      <c r="K111" s="39">
        <f t="shared" si="73"/>
        <v>36.340599361646149</v>
      </c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</row>
    <row r="112" spans="1:45" s="77" customFormat="1" ht="14.4" customHeight="1">
      <c r="A112" s="40"/>
      <c r="B112" s="40"/>
      <c r="C112" s="31"/>
      <c r="D112" s="31"/>
      <c r="E112" s="31"/>
      <c r="F112" s="31"/>
      <c r="G112" s="31"/>
      <c r="H112" s="31"/>
      <c r="I112" s="31"/>
      <c r="J112" s="31"/>
      <c r="K112" s="31"/>
      <c r="L112" s="7"/>
      <c r="M112" s="7"/>
      <c r="N112" s="7"/>
      <c r="P112" s="78"/>
      <c r="U112" s="75"/>
      <c r="V112" s="75"/>
      <c r="W112" s="76"/>
      <c r="Y112" s="78"/>
    </row>
    <row r="113" spans="1:45" s="12" customFormat="1">
      <c r="A113" s="27"/>
      <c r="B113" s="27"/>
      <c r="C113" s="33"/>
      <c r="D113" s="33"/>
      <c r="E113" s="33"/>
      <c r="F113" s="33"/>
      <c r="G113" s="34"/>
      <c r="H113" s="33"/>
      <c r="I113" s="33"/>
      <c r="J113" s="33"/>
      <c r="K113" s="33"/>
      <c r="L113" s="7"/>
      <c r="M113" s="7"/>
      <c r="N113" s="7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</row>
    <row r="114" spans="1:45">
      <c r="A114" s="27"/>
      <c r="B114" s="27"/>
      <c r="C114" s="44"/>
      <c r="D114" s="44"/>
      <c r="E114" s="44"/>
      <c r="F114" s="44"/>
      <c r="G114" s="42"/>
      <c r="H114" s="33"/>
      <c r="I114" s="33"/>
      <c r="J114" s="33"/>
      <c r="K114" s="33"/>
      <c r="L114" s="7"/>
      <c r="M114" s="7"/>
      <c r="N114" s="7"/>
      <c r="O114" s="7"/>
      <c r="Q114" s="7"/>
      <c r="R114" s="7"/>
      <c r="S114" s="7"/>
      <c r="T114" s="7"/>
      <c r="U114" s="7"/>
      <c r="V114" s="7"/>
      <c r="W114" s="7"/>
      <c r="X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</row>
    <row r="115" spans="1:45">
      <c r="A115" s="27"/>
      <c r="B115" s="27"/>
      <c r="C115" s="44"/>
      <c r="D115" s="44"/>
      <c r="E115" s="44"/>
      <c r="F115" s="44"/>
      <c r="G115" s="42"/>
      <c r="H115" s="33"/>
      <c r="I115" s="33"/>
      <c r="J115" s="33"/>
      <c r="K115" s="33"/>
      <c r="L115" s="7"/>
      <c r="M115" s="7"/>
      <c r="N115" s="7"/>
      <c r="O115" s="7"/>
      <c r="Q115" s="7"/>
      <c r="R115" s="7"/>
      <c r="S115" s="7"/>
      <c r="T115" s="7"/>
      <c r="U115" s="7"/>
      <c r="V115" s="7"/>
      <c r="W115" s="7"/>
      <c r="X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</row>
    <row r="116" spans="1:45">
      <c r="A116" s="27" t="s">
        <v>4</v>
      </c>
      <c r="B116" s="27"/>
      <c r="C116" s="31">
        <v>200</v>
      </c>
      <c r="D116" s="31">
        <v>400</v>
      </c>
      <c r="E116" s="31">
        <v>600</v>
      </c>
      <c r="F116" s="31">
        <v>800</v>
      </c>
      <c r="G116" s="31">
        <v>1000</v>
      </c>
      <c r="H116" s="31">
        <v>1200</v>
      </c>
      <c r="I116" s="31">
        <v>1400</v>
      </c>
      <c r="J116" s="31">
        <v>1600</v>
      </c>
      <c r="K116" s="31">
        <v>1800</v>
      </c>
      <c r="L116" s="26"/>
      <c r="M116" s="26"/>
      <c r="N116" s="45"/>
      <c r="O116" s="7"/>
      <c r="Q116" s="7"/>
      <c r="R116" s="7"/>
      <c r="S116" s="7"/>
      <c r="T116" s="7"/>
      <c r="U116" s="7"/>
      <c r="V116" s="7"/>
      <c r="W116" s="7"/>
      <c r="X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</row>
    <row r="117" spans="1:45">
      <c r="A117" s="27"/>
      <c r="B117" s="27"/>
      <c r="C117" s="30"/>
      <c r="D117" s="30"/>
      <c r="E117" s="30"/>
      <c r="F117" s="30"/>
      <c r="G117" s="30"/>
      <c r="H117" s="30"/>
      <c r="I117" s="30"/>
      <c r="J117" s="30"/>
      <c r="K117" s="30"/>
      <c r="L117" s="26"/>
      <c r="M117" s="26"/>
      <c r="N117" s="45"/>
      <c r="O117" s="7"/>
      <c r="Q117" s="7"/>
      <c r="R117" s="7"/>
      <c r="S117" s="7"/>
      <c r="T117" s="7"/>
      <c r="U117" s="7"/>
      <c r="V117" s="7"/>
      <c r="W117" s="7"/>
      <c r="X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</row>
    <row r="118" spans="1:45">
      <c r="A118" s="27" t="s">
        <v>81</v>
      </c>
      <c r="B118" s="27"/>
      <c r="C118" s="30">
        <f t="shared" ref="C118:K118" si="74">0.71*$G$6/1000*C116/$D$6/$C$6</f>
        <v>0</v>
      </c>
      <c r="D118" s="30">
        <f t="shared" si="74"/>
        <v>0</v>
      </c>
      <c r="E118" s="30">
        <f t="shared" si="74"/>
        <v>0</v>
      </c>
      <c r="F118" s="30">
        <f t="shared" si="74"/>
        <v>0</v>
      </c>
      <c r="G118" s="30">
        <f t="shared" si="74"/>
        <v>0</v>
      </c>
      <c r="H118" s="30">
        <f t="shared" si="74"/>
        <v>0</v>
      </c>
      <c r="I118" s="30">
        <f t="shared" si="74"/>
        <v>0</v>
      </c>
      <c r="J118" s="30">
        <f t="shared" si="74"/>
        <v>0</v>
      </c>
      <c r="K118" s="30">
        <f t="shared" si="74"/>
        <v>0</v>
      </c>
      <c r="L118" s="26"/>
      <c r="M118" s="26"/>
      <c r="N118" s="45"/>
      <c r="O118" s="27"/>
      <c r="Q118" s="8"/>
      <c r="R118" s="8"/>
      <c r="S118" s="7"/>
      <c r="T118" s="7"/>
      <c r="U118" s="26"/>
      <c r="V118" s="26"/>
      <c r="W118" s="45"/>
      <c r="X118" s="27"/>
      <c r="Z118" s="8"/>
      <c r="AA118" s="8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</row>
    <row r="119" spans="1:45">
      <c r="A119" s="27" t="s">
        <v>82</v>
      </c>
      <c r="B119" s="27"/>
      <c r="C119" s="30">
        <f t="shared" ref="C119:K119" si="75">IF($D$7=0,0,0.5*$G$7/1000*C116/$D$7/$C$7)</f>
        <v>139.6825396825397</v>
      </c>
      <c r="D119" s="30">
        <f t="shared" si="75"/>
        <v>279.3650793650794</v>
      </c>
      <c r="E119" s="30">
        <f t="shared" si="75"/>
        <v>419.04761904761909</v>
      </c>
      <c r="F119" s="30">
        <f t="shared" si="75"/>
        <v>558.73015873015879</v>
      </c>
      <c r="G119" s="30">
        <f t="shared" si="75"/>
        <v>698.41269841269843</v>
      </c>
      <c r="H119" s="30">
        <f t="shared" si="75"/>
        <v>838.09523809523819</v>
      </c>
      <c r="I119" s="30">
        <f t="shared" si="75"/>
        <v>977.77777777777771</v>
      </c>
      <c r="J119" s="30">
        <f t="shared" si="75"/>
        <v>1117.4603174603176</v>
      </c>
      <c r="K119" s="30">
        <f t="shared" si="75"/>
        <v>1257.1428571428571</v>
      </c>
      <c r="L119" s="26"/>
      <c r="M119" s="26"/>
      <c r="N119" s="45"/>
      <c r="O119" s="27"/>
      <c r="Q119" s="8"/>
      <c r="R119" s="8"/>
      <c r="S119" s="7"/>
      <c r="T119" s="7"/>
      <c r="U119" s="26"/>
      <c r="V119" s="26"/>
      <c r="W119" s="45"/>
      <c r="X119" s="27"/>
      <c r="Z119" s="8"/>
      <c r="AA119" s="8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</row>
    <row r="120" spans="1:45">
      <c r="A120" s="27" t="s">
        <v>83</v>
      </c>
      <c r="B120" s="27"/>
      <c r="C120" s="30">
        <f t="shared" ref="C120:K120" si="76">IF($D$8=0,0,0.8*$G$8/1000*C116/$D$8/$C$8)</f>
        <v>493.07607843137265</v>
      </c>
      <c r="D120" s="30">
        <f t="shared" si="76"/>
        <v>986.1521568627453</v>
      </c>
      <c r="E120" s="30">
        <f t="shared" si="76"/>
        <v>1479.2282352941177</v>
      </c>
      <c r="F120" s="30">
        <f t="shared" si="76"/>
        <v>1972.3043137254906</v>
      </c>
      <c r="G120" s="30">
        <f t="shared" si="76"/>
        <v>2465.3803921568629</v>
      </c>
      <c r="H120" s="30">
        <f t="shared" si="76"/>
        <v>2958.4564705882353</v>
      </c>
      <c r="I120" s="30">
        <f t="shared" si="76"/>
        <v>3451.5325490196083</v>
      </c>
      <c r="J120" s="30">
        <f t="shared" si="76"/>
        <v>3944.6086274509812</v>
      </c>
      <c r="K120" s="30">
        <f t="shared" si="76"/>
        <v>4437.6847058823541</v>
      </c>
      <c r="L120" s="26"/>
      <c r="M120" s="26"/>
      <c r="N120" s="45"/>
      <c r="O120" s="27"/>
      <c r="Q120" s="8"/>
      <c r="R120" s="8"/>
      <c r="S120" s="7"/>
      <c r="T120" s="7"/>
      <c r="U120" s="26"/>
      <c r="V120" s="26"/>
      <c r="W120" s="45"/>
      <c r="X120" s="27"/>
      <c r="Z120" s="8"/>
      <c r="AA120" s="8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</row>
    <row r="121" spans="1:45">
      <c r="A121" s="27" t="s">
        <v>84</v>
      </c>
      <c r="B121" s="27"/>
      <c r="C121" s="30">
        <f t="shared" ref="C121:K121" si="77">0.55*$G$9/1000*C116/$D$9/$C$9</f>
        <v>2337.2861111111115</v>
      </c>
      <c r="D121" s="30">
        <f t="shared" si="77"/>
        <v>4674.572222222223</v>
      </c>
      <c r="E121" s="30">
        <f t="shared" si="77"/>
        <v>7011.8583333333336</v>
      </c>
      <c r="F121" s="30">
        <f t="shared" si="77"/>
        <v>9349.144444444446</v>
      </c>
      <c r="G121" s="30">
        <f t="shared" si="77"/>
        <v>11686.430555555557</v>
      </c>
      <c r="H121" s="30">
        <f t="shared" si="77"/>
        <v>14023.716666666667</v>
      </c>
      <c r="I121" s="30">
        <f t="shared" si="77"/>
        <v>16361.00277777778</v>
      </c>
      <c r="J121" s="30">
        <f t="shared" si="77"/>
        <v>18698.288888888892</v>
      </c>
      <c r="K121" s="30">
        <f t="shared" si="77"/>
        <v>21035.575000000001</v>
      </c>
      <c r="L121" s="26"/>
      <c r="M121" s="26"/>
      <c r="N121" s="45"/>
      <c r="O121" s="27"/>
      <c r="Q121" s="8"/>
      <c r="R121" s="8"/>
      <c r="S121" s="7"/>
      <c r="T121" s="7"/>
      <c r="U121" s="26"/>
      <c r="V121" s="26"/>
      <c r="W121" s="45"/>
      <c r="X121" s="27"/>
      <c r="Z121" s="8"/>
      <c r="AA121" s="8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</row>
    <row r="122" spans="1:45">
      <c r="A122" s="27" t="s">
        <v>85</v>
      </c>
      <c r="B122" s="27"/>
      <c r="C122" s="30">
        <f>IF($D$10=0,0,0.48*$G$10/1000*C116/$D$10/$C$10)</f>
        <v>286.88639999999992</v>
      </c>
      <c r="D122" s="30">
        <f t="shared" ref="D122:K122" si="78">IF($D$10=0,0,0.48*$G$10/1000*D116/$D$10/$C$10)</f>
        <v>573.77279999999985</v>
      </c>
      <c r="E122" s="30">
        <f t="shared" si="78"/>
        <v>860.65919999999994</v>
      </c>
      <c r="F122" s="30">
        <f t="shared" si="78"/>
        <v>1147.5455999999997</v>
      </c>
      <c r="G122" s="30">
        <f t="shared" si="78"/>
        <v>1434.432</v>
      </c>
      <c r="H122" s="30">
        <f t="shared" si="78"/>
        <v>1721.3183999999999</v>
      </c>
      <c r="I122" s="30">
        <f t="shared" si="78"/>
        <v>2008.2047999999998</v>
      </c>
      <c r="J122" s="30">
        <f t="shared" si="78"/>
        <v>2295.0911999999994</v>
      </c>
      <c r="K122" s="30">
        <f t="shared" si="78"/>
        <v>2581.9775999999997</v>
      </c>
      <c r="L122" s="26"/>
      <c r="M122" s="26"/>
      <c r="N122" s="45"/>
      <c r="O122" s="27"/>
      <c r="Q122" s="8"/>
      <c r="R122" s="8"/>
      <c r="S122" s="7"/>
      <c r="T122" s="7"/>
      <c r="U122" s="26"/>
      <c r="V122" s="26"/>
      <c r="W122" s="45"/>
      <c r="X122" s="27"/>
      <c r="Z122" s="8"/>
      <c r="AA122" s="8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</row>
    <row r="123" spans="1:45">
      <c r="A123" s="27" t="s">
        <v>98</v>
      </c>
      <c r="B123" s="27"/>
      <c r="C123" s="30">
        <f t="shared" ref="C123:K123" si="79">0.089*$G$5/1000*(C64-C58*$D$19)</f>
        <v>2276.5529058538914</v>
      </c>
      <c r="D123" s="30">
        <f t="shared" si="79"/>
        <v>4553.1058117077828</v>
      </c>
      <c r="E123" s="30">
        <f t="shared" si="79"/>
        <v>6649.9263057067546</v>
      </c>
      <c r="F123" s="30">
        <f t="shared" si="79"/>
        <v>8866.5684076090092</v>
      </c>
      <c r="G123" s="30">
        <f t="shared" si="79"/>
        <v>11083.210509511257</v>
      </c>
      <c r="H123" s="30">
        <f t="shared" si="79"/>
        <v>13152.733485179946</v>
      </c>
      <c r="I123" s="30">
        <f t="shared" si="79"/>
        <v>15344.855732709933</v>
      </c>
      <c r="J123" s="30">
        <f t="shared" si="79"/>
        <v>17536.977980239924</v>
      </c>
      <c r="K123" s="30">
        <f t="shared" si="79"/>
        <v>19729.100227769912</v>
      </c>
      <c r="L123" s="26"/>
      <c r="M123" s="26"/>
      <c r="N123" s="45"/>
      <c r="O123" s="27"/>
      <c r="Q123" s="8"/>
      <c r="R123" s="8"/>
      <c r="S123" s="7"/>
      <c r="T123" s="7"/>
      <c r="U123" s="26"/>
      <c r="V123" s="26"/>
      <c r="W123" s="45"/>
      <c r="X123" s="27"/>
      <c r="Z123" s="8"/>
      <c r="AA123" s="8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</row>
    <row r="124" spans="1:45">
      <c r="A124" s="27" t="s">
        <v>12</v>
      </c>
      <c r="B124" s="27"/>
      <c r="C124" s="30">
        <f t="shared" ref="C124:K124" si="80">SUM(C118:C123)</f>
        <v>5533.4840350789145</v>
      </c>
      <c r="D124" s="30">
        <f t="shared" si="80"/>
        <v>11066.968070157829</v>
      </c>
      <c r="E124" s="30">
        <f t="shared" si="80"/>
        <v>16420.719693381827</v>
      </c>
      <c r="F124" s="30">
        <f t="shared" si="80"/>
        <v>21894.292924509104</v>
      </c>
      <c r="G124" s="30">
        <f t="shared" si="80"/>
        <v>27367.866155636373</v>
      </c>
      <c r="H124" s="30">
        <f t="shared" si="80"/>
        <v>32694.320260530087</v>
      </c>
      <c r="I124" s="30">
        <f t="shared" si="80"/>
        <v>38143.373637285098</v>
      </c>
      <c r="J124" s="30">
        <f t="shared" si="80"/>
        <v>43592.427014040113</v>
      </c>
      <c r="K124" s="30">
        <f t="shared" si="80"/>
        <v>49041.480390795121</v>
      </c>
      <c r="L124" s="26"/>
      <c r="M124" s="26"/>
      <c r="N124" s="45"/>
      <c r="O124" s="27"/>
      <c r="Q124" s="8"/>
      <c r="R124" s="8"/>
      <c r="S124" s="7"/>
      <c r="T124" s="7"/>
      <c r="U124" s="26"/>
      <c r="V124" s="26"/>
      <c r="W124" s="45"/>
      <c r="X124" s="27"/>
      <c r="Z124" s="8"/>
      <c r="AA124" s="8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</row>
    <row r="125" spans="1:45" s="22" customFormat="1">
      <c r="A125" s="27" t="s">
        <v>32</v>
      </c>
      <c r="B125" s="27"/>
      <c r="C125" s="46">
        <f>(99.94-5.257*C68+0.1755*C68*C68-0.06767*$D$5-0.002662*C65*C68)/100*$G$5</f>
        <v>230368.95551841662</v>
      </c>
      <c r="D125" s="46">
        <f t="shared" ref="D125:K125" si="81">(99.94-5.257*D68+0.1755*D68*D68-0.06767*$D$5-0.002662*D65*D68)/100*$G$5</f>
        <v>208688.60895283328</v>
      </c>
      <c r="E125" s="46">
        <f t="shared" si="81"/>
        <v>189689.46290385281</v>
      </c>
      <c r="F125" s="46">
        <f t="shared" si="81"/>
        <v>201634.33722312871</v>
      </c>
      <c r="G125" s="46">
        <f t="shared" si="81"/>
        <v>219632.72111848774</v>
      </c>
      <c r="H125" s="46">
        <f t="shared" si="81"/>
        <v>233633.31334568062</v>
      </c>
      <c r="I125" s="46">
        <f t="shared" si="81"/>
        <v>246420.29223929148</v>
      </c>
      <c r="J125" s="46">
        <f t="shared" si="81"/>
        <v>257049.69152507937</v>
      </c>
      <c r="K125" s="46">
        <f t="shared" si="81"/>
        <v>265954.81141191209</v>
      </c>
      <c r="L125" s="26"/>
      <c r="M125" s="26"/>
      <c r="N125" s="45"/>
      <c r="O125" s="27"/>
      <c r="Q125" s="47"/>
      <c r="R125" s="47"/>
      <c r="S125" s="48"/>
      <c r="T125" s="48"/>
      <c r="U125" s="26"/>
      <c r="V125" s="26"/>
      <c r="W125" s="45"/>
      <c r="X125" s="27"/>
      <c r="Z125" s="47"/>
      <c r="AA125" s="47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</row>
    <row r="126" spans="1:45">
      <c r="A126" s="27" t="s">
        <v>33</v>
      </c>
      <c r="B126" s="27"/>
      <c r="C126" s="30">
        <f t="shared" ref="C126:K126" si="82">$G$10*0.9^C70</f>
        <v>18458.551774549484</v>
      </c>
      <c r="D126" s="30">
        <f t="shared" si="82"/>
        <v>18458.551774549484</v>
      </c>
      <c r="E126" s="30">
        <f t="shared" si="82"/>
        <v>18458.551774549484</v>
      </c>
      <c r="F126" s="30">
        <f t="shared" si="82"/>
        <v>18458.551774549484</v>
      </c>
      <c r="G126" s="30">
        <f t="shared" si="82"/>
        <v>18458.551774549484</v>
      </c>
      <c r="H126" s="30">
        <f t="shared" si="82"/>
        <v>18458.551774549484</v>
      </c>
      <c r="I126" s="30">
        <f t="shared" si="82"/>
        <v>18458.551774549484</v>
      </c>
      <c r="J126" s="30">
        <f t="shared" si="82"/>
        <v>18458.551774549484</v>
      </c>
      <c r="K126" s="30">
        <f t="shared" si="82"/>
        <v>18458.551774549484</v>
      </c>
      <c r="L126" s="26"/>
      <c r="M126" s="26"/>
      <c r="N126" s="45"/>
      <c r="O126" s="27"/>
      <c r="Q126" s="8"/>
      <c r="R126" s="8"/>
      <c r="S126" s="7"/>
      <c r="T126" s="7"/>
      <c r="U126" s="26"/>
      <c r="V126" s="26"/>
      <c r="W126" s="45"/>
      <c r="X126" s="27"/>
      <c r="Z126" s="8"/>
      <c r="AA126" s="8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</row>
    <row r="127" spans="1:45" s="12" customFormat="1">
      <c r="A127" s="29" t="s">
        <v>63</v>
      </c>
      <c r="B127" s="29"/>
      <c r="C127" s="31">
        <f t="shared" ref="C127:K127" si="83">+(($G$5-C125)/C68+($G$5+C125)/2*$D$21)/C65*(C64-C58*$D$19)</f>
        <v>9208.3864081159772</v>
      </c>
      <c r="D127" s="31">
        <f t="shared" si="83"/>
        <v>10978.786429160566</v>
      </c>
      <c r="E127" s="31">
        <f t="shared" si="83"/>
        <v>12073.949305097585</v>
      </c>
      <c r="F127" s="31">
        <f t="shared" si="83"/>
        <v>13919.65038109884</v>
      </c>
      <c r="G127" s="31">
        <f t="shared" si="83"/>
        <v>15628.334420875319</v>
      </c>
      <c r="H127" s="31">
        <f t="shared" si="83"/>
        <v>17064.513087709478</v>
      </c>
      <c r="I127" s="31">
        <f t="shared" si="83"/>
        <v>18403.014427696122</v>
      </c>
      <c r="J127" s="31">
        <f t="shared" si="83"/>
        <v>19642.423635925883</v>
      </c>
      <c r="K127" s="31">
        <f t="shared" si="83"/>
        <v>20811.566268525457</v>
      </c>
      <c r="L127" s="26"/>
      <c r="M127" s="26"/>
      <c r="N127" s="45"/>
      <c r="O127" s="29"/>
      <c r="Q127" s="41"/>
      <c r="R127" s="41"/>
      <c r="S127" s="21"/>
      <c r="T127" s="21"/>
      <c r="U127" s="26"/>
      <c r="V127" s="26"/>
      <c r="W127" s="45"/>
      <c r="X127" s="29"/>
      <c r="Z127" s="41"/>
      <c r="AA127" s="4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</row>
    <row r="128" spans="1:45" s="12" customFormat="1">
      <c r="A128" s="29" t="s">
        <v>26</v>
      </c>
      <c r="B128" s="29"/>
      <c r="C128" s="31">
        <f t="shared" ref="C128:K128" si="84">+($G$11-C126)/C70+($G$11+C126)/2*$D$21</f>
        <v>54084.660917187684</v>
      </c>
      <c r="D128" s="31">
        <f t="shared" si="84"/>
        <v>54084.660917187684</v>
      </c>
      <c r="E128" s="31">
        <f t="shared" si="84"/>
        <v>54084.660917187684</v>
      </c>
      <c r="F128" s="31">
        <f t="shared" si="84"/>
        <v>54084.660917187684</v>
      </c>
      <c r="G128" s="31">
        <f t="shared" si="84"/>
        <v>54084.660917187684</v>
      </c>
      <c r="H128" s="31">
        <f t="shared" si="84"/>
        <v>54084.660917187684</v>
      </c>
      <c r="I128" s="31">
        <f t="shared" si="84"/>
        <v>54084.660917187684</v>
      </c>
      <c r="J128" s="31">
        <f t="shared" si="84"/>
        <v>54084.660917187684</v>
      </c>
      <c r="K128" s="31">
        <f t="shared" si="84"/>
        <v>54084.660917187684</v>
      </c>
      <c r="L128" s="26"/>
      <c r="M128" s="26"/>
      <c r="N128" s="45"/>
      <c r="O128" s="29"/>
      <c r="Q128" s="41"/>
      <c r="R128" s="41"/>
      <c r="S128" s="21"/>
      <c r="T128" s="21"/>
      <c r="U128" s="26"/>
      <c r="V128" s="26"/>
      <c r="W128" s="45"/>
      <c r="X128" s="29"/>
      <c r="Z128" s="41"/>
      <c r="AA128" s="4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</row>
    <row r="129" spans="1:45">
      <c r="A129" s="27" t="s">
        <v>99</v>
      </c>
      <c r="B129" s="27"/>
      <c r="C129" s="30">
        <f>+(C64-C58*$D$19)*$D$15</f>
        <v>14543.292421838205</v>
      </c>
      <c r="D129" s="30">
        <f t="shared" ref="D129:K129" si="85">+(D64-D58*$D$19)*$D$15</f>
        <v>29086.58484367641</v>
      </c>
      <c r="E129" s="30">
        <f t="shared" si="85"/>
        <v>42481.693528353484</v>
      </c>
      <c r="F129" s="30">
        <f t="shared" si="85"/>
        <v>56642.258037804662</v>
      </c>
      <c r="G129" s="30">
        <f t="shared" si="85"/>
        <v>70802.822547255812</v>
      </c>
      <c r="H129" s="30">
        <f t="shared" si="85"/>
        <v>84023.54662156562</v>
      </c>
      <c r="I129" s="30">
        <f t="shared" si="85"/>
        <v>98027.471058493189</v>
      </c>
      <c r="J129" s="30">
        <f t="shared" si="85"/>
        <v>112031.3954954208</v>
      </c>
      <c r="K129" s="30">
        <f t="shared" si="85"/>
        <v>126035.31993234837</v>
      </c>
      <c r="L129" s="26"/>
      <c r="M129" s="26"/>
      <c r="N129" s="45"/>
      <c r="O129" s="27"/>
      <c r="P129" s="24"/>
      <c r="Q129" s="8"/>
      <c r="R129" s="8"/>
      <c r="S129" s="7"/>
      <c r="T129" s="7"/>
      <c r="U129" s="26"/>
      <c r="V129" s="26"/>
      <c r="W129" s="45"/>
      <c r="X129" s="27"/>
      <c r="Y129" s="24"/>
      <c r="Z129" s="8"/>
      <c r="AA129" s="8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</row>
    <row r="130" spans="1:45">
      <c r="A130" s="27" t="s">
        <v>100</v>
      </c>
      <c r="B130" s="27"/>
      <c r="C130" s="30">
        <f t="shared" ref="C130:K130" si="86">+(C64-C58*$D$19)*$D$16*(0.00008+0.127)*$D$5</f>
        <v>5686.6510798990739</v>
      </c>
      <c r="D130" s="30">
        <f t="shared" si="86"/>
        <v>11373.302159798148</v>
      </c>
      <c r="E130" s="30">
        <f t="shared" si="86"/>
        <v>16610.995734102031</v>
      </c>
      <c r="F130" s="30">
        <f t="shared" si="86"/>
        <v>22147.994312136048</v>
      </c>
      <c r="G130" s="30">
        <f t="shared" si="86"/>
        <v>27684.992890170055</v>
      </c>
      <c r="H130" s="30">
        <f t="shared" si="86"/>
        <v>32854.499398980173</v>
      </c>
      <c r="I130" s="30">
        <f t="shared" si="86"/>
        <v>38330.249298810202</v>
      </c>
      <c r="J130" s="30">
        <f t="shared" si="86"/>
        <v>43805.999198640238</v>
      </c>
      <c r="K130" s="30">
        <f t="shared" si="86"/>
        <v>49281.749098470253</v>
      </c>
      <c r="L130" s="26"/>
      <c r="M130" s="26"/>
      <c r="N130" s="45"/>
      <c r="O130" s="27"/>
      <c r="P130" s="24"/>
      <c r="Q130" s="8"/>
      <c r="R130" s="8"/>
      <c r="S130" s="7"/>
      <c r="T130" s="7"/>
      <c r="U130" s="26"/>
      <c r="V130" s="26"/>
      <c r="W130" s="45"/>
      <c r="X130" s="27"/>
      <c r="Y130" s="24"/>
      <c r="Z130" s="8"/>
      <c r="AA130" s="8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</row>
    <row r="131" spans="1:45">
      <c r="A131" s="27" t="s">
        <v>13</v>
      </c>
      <c r="B131" s="27"/>
      <c r="C131" s="49">
        <f t="shared" ref="C131:K131" si="87">C71/100*$D$23*$D$17*C116</f>
        <v>58162.228521278666</v>
      </c>
      <c r="D131" s="49">
        <f t="shared" si="87"/>
        <v>138953.20794965833</v>
      </c>
      <c r="E131" s="49">
        <f t="shared" si="87"/>
        <v>241488.17416499235</v>
      </c>
      <c r="F131" s="49">
        <f t="shared" si="87"/>
        <v>369202.55300334212</v>
      </c>
      <c r="G131" s="49">
        <f t="shared" si="87"/>
        <v>521948.49223336804</v>
      </c>
      <c r="H131" s="49">
        <f t="shared" si="87"/>
        <v>698581.0392960133</v>
      </c>
      <c r="I131" s="49">
        <f t="shared" si="87"/>
        <v>903391.32091361179</v>
      </c>
      <c r="J131" s="49">
        <f t="shared" si="87"/>
        <v>1135728.9020745237</v>
      </c>
      <c r="K131" s="49">
        <f t="shared" si="87"/>
        <v>1396447.2227787487</v>
      </c>
      <c r="L131" s="26"/>
      <c r="M131" s="26"/>
      <c r="N131" s="45"/>
      <c r="O131" s="27"/>
      <c r="Q131" s="8"/>
      <c r="R131" s="8"/>
      <c r="S131" s="7"/>
      <c r="T131" s="7"/>
      <c r="U131" s="26"/>
      <c r="V131" s="26"/>
      <c r="W131" s="45"/>
      <c r="X131" s="27"/>
      <c r="Z131" s="8"/>
      <c r="AA131" s="8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</row>
    <row r="132" spans="1:45">
      <c r="A132" s="50" t="s">
        <v>38</v>
      </c>
      <c r="B132" s="50"/>
      <c r="C132" s="33">
        <f t="shared" ref="C132:K132" si="88">+C116*$D$23*$D$13/100</f>
        <v>0</v>
      </c>
      <c r="D132" s="33">
        <f t="shared" si="88"/>
        <v>0</v>
      </c>
      <c r="E132" s="33">
        <f t="shared" si="88"/>
        <v>0</v>
      </c>
      <c r="F132" s="33">
        <f t="shared" si="88"/>
        <v>0</v>
      </c>
      <c r="G132" s="33">
        <f t="shared" si="88"/>
        <v>0</v>
      </c>
      <c r="H132" s="33">
        <f t="shared" si="88"/>
        <v>0</v>
      </c>
      <c r="I132" s="33">
        <f t="shared" si="88"/>
        <v>0</v>
      </c>
      <c r="J132" s="33">
        <f t="shared" si="88"/>
        <v>0</v>
      </c>
      <c r="K132" s="33">
        <f t="shared" si="88"/>
        <v>0</v>
      </c>
      <c r="L132" s="26"/>
      <c r="M132" s="26"/>
      <c r="N132" s="45"/>
      <c r="O132" s="50"/>
      <c r="Q132" s="8"/>
      <c r="R132" s="8"/>
      <c r="S132" s="7"/>
      <c r="T132" s="7"/>
      <c r="U132" s="26"/>
      <c r="V132" s="26"/>
      <c r="W132" s="45"/>
      <c r="X132" s="50"/>
      <c r="Z132" s="8"/>
      <c r="AA132" s="8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</row>
    <row r="133" spans="1:45">
      <c r="A133" s="50" t="s">
        <v>75</v>
      </c>
      <c r="B133" s="50"/>
      <c r="C133" s="33">
        <f t="shared" ref="C133:K133" si="89">+C127+C128+C130+C124</f>
        <v>74513.182440281656</v>
      </c>
      <c r="D133" s="33">
        <f t="shared" si="89"/>
        <v>87503.717576304232</v>
      </c>
      <c r="E133" s="33">
        <f t="shared" si="89"/>
        <v>99190.325649769133</v>
      </c>
      <c r="F133" s="33">
        <f t="shared" si="89"/>
        <v>112046.59853493168</v>
      </c>
      <c r="G133" s="33">
        <f t="shared" si="89"/>
        <v>124765.85438386945</v>
      </c>
      <c r="H133" s="33">
        <f t="shared" si="89"/>
        <v>136697.9936644074</v>
      </c>
      <c r="I133" s="33">
        <f t="shared" si="89"/>
        <v>148961.2982809791</v>
      </c>
      <c r="J133" s="33">
        <f t="shared" si="89"/>
        <v>161125.51076579394</v>
      </c>
      <c r="K133" s="33">
        <f t="shared" si="89"/>
        <v>173219.45667497852</v>
      </c>
      <c r="L133" s="30"/>
      <c r="M133" s="30"/>
      <c r="N133" s="30"/>
      <c r="O133" s="50"/>
      <c r="Q133" s="8"/>
      <c r="R133" s="8"/>
      <c r="S133" s="7"/>
      <c r="T133" s="7"/>
      <c r="U133" s="26"/>
      <c r="V133" s="26"/>
      <c r="W133" s="45"/>
      <c r="X133" s="50"/>
      <c r="Z133" s="8"/>
      <c r="AA133" s="8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</row>
    <row r="134" spans="1:45" s="24" customFormat="1">
      <c r="A134" s="51" t="s">
        <v>27</v>
      </c>
      <c r="B134" s="51" t="s">
        <v>94</v>
      </c>
      <c r="C134" s="52">
        <f t="shared" ref="C134:K134" si="90">C124+C127+C128+C129+C130+C131+C132</f>
        <v>147218.70338339853</v>
      </c>
      <c r="D134" s="52">
        <f t="shared" si="90"/>
        <v>255543.51036963897</v>
      </c>
      <c r="E134" s="52">
        <f t="shared" si="90"/>
        <v>383160.19334311492</v>
      </c>
      <c r="F134" s="52">
        <f t="shared" si="90"/>
        <v>537891.40957607841</v>
      </c>
      <c r="G134" s="52">
        <f t="shared" si="90"/>
        <v>717517.16916449321</v>
      </c>
      <c r="H134" s="52">
        <f t="shared" si="90"/>
        <v>919302.57958198641</v>
      </c>
      <c r="I134" s="52">
        <f t="shared" si="90"/>
        <v>1150380.090253084</v>
      </c>
      <c r="J134" s="52">
        <f t="shared" si="90"/>
        <v>1408885.8083357385</v>
      </c>
      <c r="K134" s="52">
        <f t="shared" si="90"/>
        <v>1695701.9993860757</v>
      </c>
      <c r="L134" s="7"/>
      <c r="M134" s="7"/>
      <c r="N134" s="7"/>
      <c r="O134" s="51"/>
      <c r="P134" s="5"/>
      <c r="Q134" s="8"/>
      <c r="R134" s="8"/>
      <c r="S134" s="33"/>
      <c r="T134" s="7"/>
      <c r="U134" s="26"/>
      <c r="V134" s="26"/>
      <c r="W134" s="45"/>
      <c r="X134" s="51"/>
      <c r="Y134" s="5"/>
      <c r="Z134" s="8"/>
      <c r="AA134" s="8"/>
      <c r="AB134" s="33"/>
      <c r="AC134" s="7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</row>
    <row r="135" spans="1:45" s="24" customFormat="1">
      <c r="A135" s="51"/>
      <c r="B135" s="51"/>
      <c r="C135" s="52"/>
      <c r="D135" s="52"/>
      <c r="E135" s="52"/>
      <c r="F135" s="52"/>
      <c r="G135" s="52"/>
      <c r="H135" s="52"/>
      <c r="I135" s="52"/>
      <c r="J135" s="52"/>
      <c r="K135" s="52"/>
      <c r="L135" s="5"/>
      <c r="M135" s="5"/>
      <c r="N135" s="5"/>
      <c r="O135" s="30"/>
      <c r="P135" s="5"/>
      <c r="Q135" s="8"/>
      <c r="R135" s="8"/>
      <c r="S135" s="33"/>
      <c r="T135" s="7"/>
      <c r="U135" s="30"/>
      <c r="V135" s="30"/>
      <c r="W135" s="30"/>
      <c r="X135" s="30"/>
      <c r="Y135" s="5"/>
      <c r="Z135" s="8"/>
      <c r="AA135" s="8"/>
      <c r="AB135" s="33"/>
      <c r="AC135" s="7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</row>
    <row r="136" spans="1:45">
      <c r="A136" s="27" t="s">
        <v>4</v>
      </c>
      <c r="B136" s="27"/>
      <c r="C136" s="31">
        <v>200</v>
      </c>
      <c r="D136" s="31">
        <v>400</v>
      </c>
      <c r="E136" s="31">
        <v>600</v>
      </c>
      <c r="F136" s="31">
        <v>800</v>
      </c>
      <c r="G136" s="31">
        <v>1000</v>
      </c>
      <c r="H136" s="31">
        <v>1200</v>
      </c>
      <c r="I136" s="31">
        <v>1400</v>
      </c>
      <c r="J136" s="31">
        <v>1600</v>
      </c>
      <c r="K136" s="31">
        <v>1800</v>
      </c>
      <c r="L136" s="25"/>
      <c r="M136" s="25"/>
      <c r="N136" s="21"/>
      <c r="O136" s="7"/>
      <c r="Q136" s="8"/>
      <c r="R136" s="8"/>
      <c r="S136" s="7"/>
      <c r="T136" s="7"/>
      <c r="U136" s="7"/>
      <c r="V136" s="7"/>
      <c r="W136" s="7"/>
      <c r="X136" s="7"/>
      <c r="Z136" s="8"/>
      <c r="AA136" s="8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</row>
    <row r="137" spans="1:45">
      <c r="L137" s="25"/>
      <c r="M137" s="25"/>
      <c r="N137" s="21"/>
    </row>
    <row r="138" spans="1:45" s="12" customFormat="1">
      <c r="A138" s="27" t="s">
        <v>81</v>
      </c>
      <c r="B138" s="27"/>
      <c r="C138" s="30">
        <f t="shared" ref="C138:K138" si="91">IF($E$6=0,0,0.71*$H$6/1000*C136/$E$6/$C$6)</f>
        <v>0</v>
      </c>
      <c r="D138" s="30">
        <f t="shared" si="91"/>
        <v>0</v>
      </c>
      <c r="E138" s="30">
        <f t="shared" si="91"/>
        <v>0</v>
      </c>
      <c r="F138" s="30">
        <f t="shared" si="91"/>
        <v>0</v>
      </c>
      <c r="G138" s="30">
        <f t="shared" si="91"/>
        <v>0</v>
      </c>
      <c r="H138" s="30">
        <f t="shared" si="91"/>
        <v>0</v>
      </c>
      <c r="I138" s="30">
        <f t="shared" si="91"/>
        <v>0</v>
      </c>
      <c r="J138" s="30">
        <f t="shared" si="91"/>
        <v>0</v>
      </c>
      <c r="K138" s="30">
        <f t="shared" si="91"/>
        <v>0</v>
      </c>
      <c r="L138" s="25"/>
      <c r="M138" s="25"/>
      <c r="N138" s="21"/>
      <c r="O138" s="21"/>
      <c r="Q138" s="41"/>
      <c r="R138" s="41"/>
      <c r="S138" s="21"/>
      <c r="T138" s="21"/>
      <c r="U138" s="25"/>
      <c r="V138" s="25"/>
      <c r="W138" s="21"/>
      <c r="X138" s="21"/>
      <c r="Z138" s="41"/>
      <c r="AA138" s="4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</row>
    <row r="139" spans="1:45" s="12" customFormat="1">
      <c r="A139" s="27" t="s">
        <v>82</v>
      </c>
      <c r="B139" s="27"/>
      <c r="C139" s="30">
        <f t="shared" ref="C139:K139" si="92">IF($E$7=0,0,0.5*$H$7/1000*C136/$E$7/$C$7)</f>
        <v>104.52961672473869</v>
      </c>
      <c r="D139" s="30">
        <f t="shared" si="92"/>
        <v>209.05923344947738</v>
      </c>
      <c r="E139" s="30">
        <f t="shared" si="92"/>
        <v>313.58885017421608</v>
      </c>
      <c r="F139" s="30">
        <f t="shared" si="92"/>
        <v>418.11846689895475</v>
      </c>
      <c r="G139" s="30">
        <f t="shared" si="92"/>
        <v>522.64808362369342</v>
      </c>
      <c r="H139" s="30">
        <f t="shared" si="92"/>
        <v>627.17770034843215</v>
      </c>
      <c r="I139" s="30">
        <f t="shared" si="92"/>
        <v>731.70731707317077</v>
      </c>
      <c r="J139" s="30">
        <f t="shared" si="92"/>
        <v>836.2369337979095</v>
      </c>
      <c r="K139" s="30">
        <f t="shared" si="92"/>
        <v>940.76655052264812</v>
      </c>
      <c r="L139" s="25"/>
      <c r="M139" s="25"/>
      <c r="N139" s="21"/>
      <c r="O139" s="21"/>
      <c r="Q139" s="41"/>
      <c r="R139" s="41"/>
      <c r="S139" s="21"/>
      <c r="T139" s="21"/>
      <c r="U139" s="25"/>
      <c r="V139" s="25"/>
      <c r="W139" s="21"/>
      <c r="X139" s="21"/>
      <c r="Z139" s="41"/>
      <c r="AA139" s="4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</row>
    <row r="140" spans="1:45" s="12" customFormat="1">
      <c r="A140" s="27" t="s">
        <v>83</v>
      </c>
      <c r="B140" s="27"/>
      <c r="C140" s="30">
        <f t="shared" ref="C140:K140" si="93">IF($E$8=0,0,0.8*$H$8/1000*C136/$E$8/$C$8)</f>
        <v>576.60773109243701</v>
      </c>
      <c r="D140" s="30">
        <f t="shared" si="93"/>
        <v>1153.215462184874</v>
      </c>
      <c r="E140" s="30">
        <f t="shared" si="93"/>
        <v>1729.823193277311</v>
      </c>
      <c r="F140" s="30">
        <f t="shared" si="93"/>
        <v>2306.430924369748</v>
      </c>
      <c r="G140" s="30">
        <f t="shared" si="93"/>
        <v>2883.038655462185</v>
      </c>
      <c r="H140" s="30">
        <f t="shared" si="93"/>
        <v>3459.646386554622</v>
      </c>
      <c r="I140" s="30">
        <f t="shared" si="93"/>
        <v>4036.254117647059</v>
      </c>
      <c r="J140" s="30">
        <f t="shared" si="93"/>
        <v>4612.8618487394961</v>
      </c>
      <c r="K140" s="30">
        <f t="shared" si="93"/>
        <v>5189.4695798319344</v>
      </c>
      <c r="L140" s="25"/>
      <c r="M140" s="25"/>
      <c r="N140" s="21"/>
      <c r="O140" s="21"/>
      <c r="Q140" s="41"/>
      <c r="R140" s="41"/>
      <c r="S140" s="21"/>
      <c r="T140" s="21"/>
      <c r="U140" s="25"/>
      <c r="V140" s="25"/>
      <c r="W140" s="21"/>
      <c r="X140" s="21"/>
      <c r="Z140" s="41"/>
      <c r="AA140" s="4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</row>
    <row r="141" spans="1:45" s="12" customFormat="1">
      <c r="A141" s="27" t="s">
        <v>84</v>
      </c>
      <c r="B141" s="27"/>
      <c r="C141" s="30">
        <f t="shared" ref="C141:K141" si="94">IF($E$9=0,0,0.55*$H$9/1000*C136/$E$9/$C$9)</f>
        <v>2712.8597222222224</v>
      </c>
      <c r="D141" s="30">
        <f t="shared" si="94"/>
        <v>5425.7194444444449</v>
      </c>
      <c r="E141" s="30">
        <f t="shared" si="94"/>
        <v>8138.5791666666673</v>
      </c>
      <c r="F141" s="30">
        <f t="shared" si="94"/>
        <v>10851.43888888889</v>
      </c>
      <c r="G141" s="30">
        <f t="shared" si="94"/>
        <v>13564.298611111111</v>
      </c>
      <c r="H141" s="30">
        <f t="shared" si="94"/>
        <v>16277.158333333335</v>
      </c>
      <c r="I141" s="30">
        <f t="shared" si="94"/>
        <v>18990.01805555556</v>
      </c>
      <c r="J141" s="30">
        <f t="shared" si="94"/>
        <v>21702.87777777778</v>
      </c>
      <c r="K141" s="30">
        <f t="shared" si="94"/>
        <v>24415.737500000003</v>
      </c>
      <c r="L141" s="25"/>
      <c r="M141" s="25"/>
      <c r="N141" s="21"/>
      <c r="O141" s="21"/>
      <c r="Q141" s="41"/>
      <c r="R141" s="41"/>
      <c r="S141" s="21"/>
      <c r="T141" s="21"/>
      <c r="U141" s="25"/>
      <c r="V141" s="25"/>
      <c r="W141" s="21"/>
      <c r="X141" s="21"/>
      <c r="Z141" s="41"/>
      <c r="AA141" s="4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</row>
    <row r="142" spans="1:45" s="12" customFormat="1">
      <c r="A142" s="27" t="s">
        <v>85</v>
      </c>
      <c r="B142" s="27"/>
      <c r="C142" s="30">
        <f t="shared" ref="C142:K142" si="95">IF($E$10=0,0,0.48*$H$10/1000*C136/$E$10/$C$10)</f>
        <v>337.5288888888889</v>
      </c>
      <c r="D142" s="30">
        <f t="shared" si="95"/>
        <v>675.0577777777778</v>
      </c>
      <c r="E142" s="30">
        <f t="shared" si="95"/>
        <v>1012.5866666666667</v>
      </c>
      <c r="F142" s="30">
        <f t="shared" si="95"/>
        <v>1350.1155555555556</v>
      </c>
      <c r="G142" s="30">
        <f t="shared" si="95"/>
        <v>1687.6444444444444</v>
      </c>
      <c r="H142" s="30">
        <f t="shared" si="95"/>
        <v>2025.1733333333334</v>
      </c>
      <c r="I142" s="30">
        <f t="shared" si="95"/>
        <v>2362.7022222222222</v>
      </c>
      <c r="J142" s="30">
        <f t="shared" si="95"/>
        <v>2700.2311111111112</v>
      </c>
      <c r="K142" s="30">
        <f t="shared" si="95"/>
        <v>3037.76</v>
      </c>
      <c r="L142" s="25"/>
      <c r="M142" s="25"/>
      <c r="N142" s="21"/>
      <c r="O142" s="21"/>
      <c r="Q142" s="41"/>
      <c r="R142" s="41"/>
      <c r="S142" s="21"/>
      <c r="T142" s="21"/>
      <c r="U142" s="25"/>
      <c r="V142" s="25"/>
      <c r="W142" s="21"/>
      <c r="X142" s="21"/>
      <c r="Z142" s="41"/>
      <c r="AA142" s="4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</row>
    <row r="143" spans="1:45" s="12" customFormat="1">
      <c r="A143" s="27" t="s">
        <v>98</v>
      </c>
      <c r="B143" s="27"/>
      <c r="C143" s="30">
        <f t="shared" ref="C143:K143" si="96">0.089*$H$5/1000*(C84-C78*$D$19)</f>
        <v>3034.6157248612517</v>
      </c>
      <c r="D143" s="30">
        <f t="shared" si="96"/>
        <v>6069.2314497225034</v>
      </c>
      <c r="E143" s="30">
        <f t="shared" si="96"/>
        <v>8798.1742517058301</v>
      </c>
      <c r="F143" s="30">
        <f t="shared" si="96"/>
        <v>11730.899002274442</v>
      </c>
      <c r="G143" s="30">
        <f t="shared" si="96"/>
        <v>14663.623752843048</v>
      </c>
      <c r="H143" s="30">
        <f t="shared" si="96"/>
        <v>17345.968153934875</v>
      </c>
      <c r="I143" s="30">
        <f t="shared" si="96"/>
        <v>20236.962846257356</v>
      </c>
      <c r="J143" s="30">
        <f t="shared" si="96"/>
        <v>23127.957538579842</v>
      </c>
      <c r="K143" s="30">
        <f t="shared" si="96"/>
        <v>26018.952230902309</v>
      </c>
      <c r="L143" s="25"/>
      <c r="M143" s="25"/>
      <c r="N143" s="21"/>
      <c r="O143" s="21"/>
      <c r="Q143" s="41"/>
      <c r="R143" s="41"/>
      <c r="S143" s="21"/>
      <c r="T143" s="21"/>
      <c r="U143" s="25"/>
      <c r="V143" s="25"/>
      <c r="W143" s="21"/>
      <c r="X143" s="21"/>
      <c r="Z143" s="41"/>
      <c r="AA143" s="4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</row>
    <row r="144" spans="1:45" s="12" customFormat="1">
      <c r="A144" s="29" t="s">
        <v>12</v>
      </c>
      <c r="B144" s="29"/>
      <c r="C144" s="31">
        <f t="shared" ref="C144:K144" si="97">SUM(C138:C143)</f>
        <v>6766.1416837895395</v>
      </c>
      <c r="D144" s="31">
        <f t="shared" si="97"/>
        <v>13532.283367579079</v>
      </c>
      <c r="E144" s="31">
        <f t="shared" si="97"/>
        <v>19992.752128490691</v>
      </c>
      <c r="F144" s="31">
        <f t="shared" si="97"/>
        <v>26657.002837987591</v>
      </c>
      <c r="G144" s="31">
        <f t="shared" si="97"/>
        <v>33321.253547484484</v>
      </c>
      <c r="H144" s="31">
        <f t="shared" si="97"/>
        <v>39735.123907504596</v>
      </c>
      <c r="I144" s="31">
        <f t="shared" si="97"/>
        <v>46357.644558755368</v>
      </c>
      <c r="J144" s="31">
        <f t="shared" si="97"/>
        <v>52980.16521000614</v>
      </c>
      <c r="K144" s="31">
        <f t="shared" si="97"/>
        <v>59602.685861256898</v>
      </c>
      <c r="L144" s="25"/>
      <c r="M144" s="25"/>
      <c r="N144" s="21"/>
      <c r="O144" s="21"/>
      <c r="P144" s="41"/>
      <c r="Q144" s="41"/>
      <c r="R144" s="41"/>
      <c r="S144" s="21"/>
      <c r="T144" s="21"/>
      <c r="U144" s="25"/>
      <c r="V144" s="25"/>
      <c r="W144" s="21"/>
      <c r="X144" s="21"/>
      <c r="Y144" s="41"/>
      <c r="Z144" s="41"/>
      <c r="AA144" s="4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</row>
    <row r="145" spans="1:45" s="12" customFormat="1">
      <c r="A145" s="29" t="s">
        <v>32</v>
      </c>
      <c r="B145" s="29"/>
      <c r="C145" s="46">
        <f t="shared" ref="C145:K145" si="98">(99.94-5.257*C88+0.1755*C88*C88-0.06767*$E$5-0.002662*C85*C88)/100*$H$5</f>
        <v>436691.00214331172</v>
      </c>
      <c r="D145" s="46">
        <f t="shared" si="98"/>
        <v>409014.68945862341</v>
      </c>
      <c r="E145" s="46">
        <f t="shared" si="98"/>
        <v>384515.41477832448</v>
      </c>
      <c r="F145" s="46">
        <f t="shared" si="98"/>
        <v>357898.11476176605</v>
      </c>
      <c r="G145" s="46">
        <f t="shared" si="98"/>
        <v>331280.81474520755</v>
      </c>
      <c r="H145" s="46">
        <f t="shared" si="98"/>
        <v>349912.89241298719</v>
      </c>
      <c r="I145" s="46">
        <f t="shared" si="98"/>
        <v>373635.24629981769</v>
      </c>
      <c r="J145" s="46">
        <f t="shared" si="98"/>
        <v>396011.57098917192</v>
      </c>
      <c r="K145" s="46">
        <f t="shared" si="98"/>
        <v>416287.37065099919</v>
      </c>
      <c r="L145" s="25"/>
      <c r="M145" s="25"/>
      <c r="N145" s="21"/>
      <c r="O145" s="21"/>
      <c r="P145" s="41"/>
      <c r="Q145" s="41"/>
      <c r="R145" s="41"/>
      <c r="S145" s="21"/>
      <c r="T145" s="21"/>
      <c r="U145" s="25"/>
      <c r="V145" s="25"/>
      <c r="W145" s="21"/>
      <c r="X145" s="21"/>
      <c r="Y145" s="41"/>
      <c r="Z145" s="41"/>
      <c r="AA145" s="4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</row>
    <row r="146" spans="1:45" s="12" customFormat="1">
      <c r="A146" s="29" t="s">
        <v>33</v>
      </c>
      <c r="B146" s="29"/>
      <c r="C146" s="31">
        <f t="shared" ref="C146:K146" si="99">$H$10*0.9^C90</f>
        <v>39090.490339490083</v>
      </c>
      <c r="D146" s="31">
        <f t="shared" si="99"/>
        <v>39090.490339490083</v>
      </c>
      <c r="E146" s="31">
        <f t="shared" si="99"/>
        <v>39090.490339490083</v>
      </c>
      <c r="F146" s="31">
        <f t="shared" si="99"/>
        <v>39090.490339490083</v>
      </c>
      <c r="G146" s="31">
        <f t="shared" si="99"/>
        <v>39090.490339490083</v>
      </c>
      <c r="H146" s="31">
        <f t="shared" si="99"/>
        <v>39090.490339490083</v>
      </c>
      <c r="I146" s="31">
        <f t="shared" si="99"/>
        <v>39090.490339490083</v>
      </c>
      <c r="J146" s="31">
        <f t="shared" si="99"/>
        <v>39090.490339490083</v>
      </c>
      <c r="K146" s="31">
        <f t="shared" si="99"/>
        <v>39090.490339490083</v>
      </c>
      <c r="L146" s="25"/>
      <c r="M146" s="25"/>
      <c r="N146" s="21"/>
      <c r="O146" s="21"/>
      <c r="P146" s="41"/>
      <c r="Q146" s="41"/>
      <c r="R146" s="41"/>
      <c r="S146" s="21"/>
      <c r="T146" s="21"/>
      <c r="U146" s="25"/>
      <c r="V146" s="25"/>
      <c r="W146" s="21"/>
      <c r="X146" s="21"/>
      <c r="Y146" s="41"/>
      <c r="Z146" s="41"/>
      <c r="AA146" s="4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</row>
    <row r="147" spans="1:45" s="12" customFormat="1">
      <c r="A147" s="29" t="s">
        <v>63</v>
      </c>
      <c r="B147" s="29"/>
      <c r="C147" s="31">
        <f t="shared" ref="C147:K147" si="100">+(($H$5-C145)/C88+($H$5+C145)/2*$D$21)/C85*(C84-C78*$D$19)</f>
        <v>17612.850407945843</v>
      </c>
      <c r="D147" s="31">
        <f t="shared" si="100"/>
        <v>21896.118212788057</v>
      </c>
      <c r="E147" s="31">
        <f t="shared" si="100"/>
        <v>24053.183736418279</v>
      </c>
      <c r="F147" s="31">
        <f t="shared" si="100"/>
        <v>25623.482061057366</v>
      </c>
      <c r="G147" s="31">
        <f t="shared" si="100"/>
        <v>26868.766105522835</v>
      </c>
      <c r="H147" s="31">
        <f t="shared" si="100"/>
        <v>29602.593136177726</v>
      </c>
      <c r="I147" s="31">
        <f t="shared" si="100"/>
        <v>32316.602929457014</v>
      </c>
      <c r="J147" s="31">
        <f t="shared" si="100"/>
        <v>34784.268210795606</v>
      </c>
      <c r="K147" s="31">
        <f t="shared" si="100"/>
        <v>37069.980074362735</v>
      </c>
      <c r="L147" s="25"/>
      <c r="M147" s="25"/>
      <c r="N147" s="21"/>
      <c r="O147" s="21"/>
      <c r="P147" s="41"/>
      <c r="Q147" s="41"/>
      <c r="R147" s="41"/>
      <c r="S147" s="21"/>
      <c r="T147" s="21"/>
      <c r="U147" s="25"/>
      <c r="V147" s="25"/>
      <c r="W147" s="21"/>
      <c r="X147" s="21"/>
      <c r="Y147" s="41"/>
      <c r="Z147" s="41"/>
      <c r="AA147" s="4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</row>
    <row r="148" spans="1:45" s="12" customFormat="1">
      <c r="A148" s="29" t="s">
        <v>26</v>
      </c>
      <c r="B148" s="29"/>
      <c r="C148" s="31">
        <f t="shared" ref="C148:K148" si="101">+($H$11-C146)/C90+($H$11+C146)/2*$D$21</f>
        <v>115360.46378415712</v>
      </c>
      <c r="D148" s="31">
        <f t="shared" si="101"/>
        <v>115360.46378415712</v>
      </c>
      <c r="E148" s="31">
        <f t="shared" si="101"/>
        <v>115360.46378415712</v>
      </c>
      <c r="F148" s="31">
        <f t="shared" si="101"/>
        <v>115360.46378415712</v>
      </c>
      <c r="G148" s="31">
        <f t="shared" si="101"/>
        <v>115360.46378415712</v>
      </c>
      <c r="H148" s="31">
        <f t="shared" si="101"/>
        <v>115360.46378415712</v>
      </c>
      <c r="I148" s="31">
        <f t="shared" si="101"/>
        <v>115360.46378415712</v>
      </c>
      <c r="J148" s="31">
        <f t="shared" si="101"/>
        <v>115360.46378415712</v>
      </c>
      <c r="K148" s="31">
        <f t="shared" si="101"/>
        <v>115360.46378415712</v>
      </c>
      <c r="L148" s="25"/>
      <c r="M148" s="25"/>
      <c r="N148" s="21"/>
      <c r="O148" s="21"/>
      <c r="P148" s="41"/>
      <c r="Q148" s="41"/>
      <c r="R148" s="41"/>
      <c r="S148" s="21"/>
      <c r="T148" s="21"/>
      <c r="U148" s="25"/>
      <c r="V148" s="25"/>
      <c r="W148" s="21"/>
      <c r="X148" s="21"/>
      <c r="Y148" s="41"/>
      <c r="Z148" s="41"/>
      <c r="AA148" s="4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</row>
    <row r="149" spans="1:45" s="12" customFormat="1">
      <c r="A149" s="27" t="s">
        <v>99</v>
      </c>
      <c r="B149" s="27"/>
      <c r="C149" s="30">
        <f t="shared" ref="C149:K149" si="102">+(C84-C78*$D$19)*$D$15</f>
        <v>9488.8426972657162</v>
      </c>
      <c r="D149" s="30">
        <f t="shared" si="102"/>
        <v>18977.685394531432</v>
      </c>
      <c r="E149" s="30">
        <f t="shared" si="102"/>
        <v>27510.72922137026</v>
      </c>
      <c r="F149" s="30">
        <f t="shared" si="102"/>
        <v>36680.972295160354</v>
      </c>
      <c r="G149" s="30">
        <f t="shared" si="102"/>
        <v>45851.215368950434</v>
      </c>
      <c r="H149" s="30">
        <f t="shared" si="102"/>
        <v>54238.552148804323</v>
      </c>
      <c r="I149" s="30">
        <f t="shared" si="102"/>
        <v>63278.310840271719</v>
      </c>
      <c r="J149" s="30">
        <f t="shared" si="102"/>
        <v>72318.069531739122</v>
      </c>
      <c r="K149" s="30">
        <f t="shared" si="102"/>
        <v>81357.828223206481</v>
      </c>
      <c r="L149" s="25"/>
      <c r="M149" s="25"/>
      <c r="N149" s="21"/>
      <c r="O149" s="21"/>
      <c r="P149" s="41"/>
      <c r="Q149" s="41"/>
      <c r="R149" s="41"/>
      <c r="S149" s="21"/>
      <c r="T149" s="21"/>
      <c r="U149" s="25"/>
      <c r="V149" s="25"/>
      <c r="W149" s="21"/>
      <c r="X149" s="21"/>
      <c r="Y149" s="41"/>
      <c r="Z149" s="41"/>
      <c r="AA149" s="4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</row>
    <row r="150" spans="1:45" s="12" customFormat="1">
      <c r="A150" s="27" t="s">
        <v>100</v>
      </c>
      <c r="B150" s="27"/>
      <c r="C150" s="30">
        <f t="shared" ref="C150:K150" si="103">+(C84-C78*$D$19)*$D$16*(0.00008+0.127)*$D$5</f>
        <v>3710.2834768262383</v>
      </c>
      <c r="D150" s="30">
        <f t="shared" si="103"/>
        <v>7420.5669536524765</v>
      </c>
      <c r="E150" s="30">
        <f t="shared" si="103"/>
        <v>10757.118367543793</v>
      </c>
      <c r="F150" s="30">
        <f t="shared" si="103"/>
        <v>14342.824490058394</v>
      </c>
      <c r="G150" s="30">
        <f t="shared" si="103"/>
        <v>17928.530612572984</v>
      </c>
      <c r="H150" s="30">
        <f t="shared" si="103"/>
        <v>21208.108329446317</v>
      </c>
      <c r="I150" s="30">
        <f t="shared" si="103"/>
        <v>24742.793051020708</v>
      </c>
      <c r="J150" s="30">
        <f t="shared" si="103"/>
        <v>28277.477772595099</v>
      </c>
      <c r="K150" s="30">
        <f t="shared" si="103"/>
        <v>31812.162494169475</v>
      </c>
      <c r="L150" s="25"/>
      <c r="M150" s="25"/>
      <c r="N150" s="21"/>
      <c r="O150" s="21"/>
      <c r="P150" s="41"/>
      <c r="Q150" s="41"/>
      <c r="R150" s="41"/>
      <c r="S150" s="21"/>
      <c r="T150" s="21"/>
      <c r="U150" s="25"/>
      <c r="V150" s="25"/>
      <c r="W150" s="21"/>
      <c r="X150" s="21"/>
      <c r="Y150" s="41"/>
      <c r="Z150" s="41"/>
      <c r="AA150" s="4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</row>
    <row r="151" spans="1:45" s="12" customFormat="1">
      <c r="A151" s="29" t="s">
        <v>13</v>
      </c>
      <c r="B151" s="29"/>
      <c r="C151" s="49">
        <f t="shared" ref="C151:K151" si="104">C91/100*$D$23*$D$17*C136</f>
        <v>51644.291862866972</v>
      </c>
      <c r="D151" s="49">
        <f t="shared" si="104"/>
        <v>123244.91502728515</v>
      </c>
      <c r="E151" s="49">
        <f t="shared" si="104"/>
        <v>212940.04947238736</v>
      </c>
      <c r="F151" s="49">
        <f t="shared" si="104"/>
        <v>325535.20806944423</v>
      </c>
      <c r="G151" s="49">
        <f t="shared" si="104"/>
        <v>460360.33771963109</v>
      </c>
      <c r="H151" s="49">
        <f t="shared" si="104"/>
        <v>614945.31890674343</v>
      </c>
      <c r="I151" s="49">
        <f t="shared" si="104"/>
        <v>795816.9974954155</v>
      </c>
      <c r="J151" s="49">
        <f t="shared" si="104"/>
        <v>1001359.0281138633</v>
      </c>
      <c r="K151" s="49">
        <f t="shared" si="104"/>
        <v>1232424.8507620876</v>
      </c>
      <c r="L151" s="25"/>
      <c r="M151" s="25"/>
      <c r="N151" s="31"/>
      <c r="O151" s="21"/>
      <c r="P151" s="41"/>
      <c r="Q151" s="41"/>
      <c r="R151" s="41"/>
      <c r="S151" s="21"/>
      <c r="T151" s="21"/>
      <c r="U151" s="25"/>
      <c r="V151" s="25"/>
      <c r="W151" s="21"/>
      <c r="X151" s="21"/>
      <c r="Y151" s="41"/>
      <c r="Z151" s="41"/>
      <c r="AA151" s="4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</row>
    <row r="152" spans="1:45" s="12" customFormat="1">
      <c r="A152" s="54" t="s">
        <v>38</v>
      </c>
      <c r="B152" s="54"/>
      <c r="C152" s="33">
        <f>+C136*$D$23*$E$13/100</f>
        <v>0</v>
      </c>
      <c r="D152" s="33">
        <f t="shared" ref="D152:K152" si="105">+D136*$D$23*$E$13/100</f>
        <v>0</v>
      </c>
      <c r="E152" s="33">
        <f t="shared" si="105"/>
        <v>0</v>
      </c>
      <c r="F152" s="33">
        <f t="shared" si="105"/>
        <v>0</v>
      </c>
      <c r="G152" s="33">
        <f t="shared" si="105"/>
        <v>0</v>
      </c>
      <c r="H152" s="33">
        <f t="shared" si="105"/>
        <v>0</v>
      </c>
      <c r="I152" s="33">
        <f t="shared" si="105"/>
        <v>0</v>
      </c>
      <c r="J152" s="33">
        <f t="shared" si="105"/>
        <v>0</v>
      </c>
      <c r="K152" s="33">
        <f t="shared" si="105"/>
        <v>0</v>
      </c>
      <c r="L152" s="25"/>
      <c r="M152" s="25"/>
      <c r="N152" s="56"/>
      <c r="O152" s="21"/>
      <c r="P152" s="41"/>
      <c r="Q152" s="41"/>
      <c r="R152" s="41"/>
      <c r="S152" s="21"/>
      <c r="T152" s="21"/>
      <c r="U152" s="25"/>
      <c r="V152" s="25"/>
      <c r="W152" s="21"/>
      <c r="X152" s="21"/>
      <c r="Y152" s="41"/>
      <c r="Z152" s="41"/>
      <c r="AA152" s="4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</row>
    <row r="153" spans="1:45" s="12" customFormat="1">
      <c r="A153" s="54" t="s">
        <v>76</v>
      </c>
      <c r="B153" s="54"/>
      <c r="C153" s="33">
        <f t="shared" ref="C153:K153" si="106">+C147+C148+C150+C144</f>
        <v>143449.73935271875</v>
      </c>
      <c r="D153" s="33">
        <f t="shared" si="106"/>
        <v>158209.43231817672</v>
      </c>
      <c r="E153" s="33">
        <f t="shared" si="106"/>
        <v>170163.51801660989</v>
      </c>
      <c r="F153" s="33">
        <f t="shared" si="106"/>
        <v>181983.77317326044</v>
      </c>
      <c r="G153" s="33">
        <f t="shared" si="106"/>
        <v>193479.01404973745</v>
      </c>
      <c r="H153" s="33">
        <f t="shared" si="106"/>
        <v>205906.28915728576</v>
      </c>
      <c r="I153" s="33">
        <f t="shared" si="106"/>
        <v>218777.5043233902</v>
      </c>
      <c r="J153" s="33">
        <f t="shared" si="106"/>
        <v>231402.37497755396</v>
      </c>
      <c r="K153" s="33">
        <f t="shared" si="106"/>
        <v>243845.29221394623</v>
      </c>
      <c r="L153" s="56"/>
      <c r="M153" s="56"/>
      <c r="N153" s="56"/>
      <c r="O153" s="21"/>
      <c r="Q153" s="41"/>
      <c r="R153" s="41"/>
      <c r="S153" s="21"/>
      <c r="T153" s="21"/>
      <c r="U153" s="25"/>
      <c r="V153" s="25"/>
      <c r="W153" s="31"/>
      <c r="X153" s="21"/>
      <c r="Z153" s="41"/>
      <c r="AA153" s="4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</row>
    <row r="154" spans="1:45" s="58" customFormat="1">
      <c r="A154" s="55" t="s">
        <v>28</v>
      </c>
      <c r="B154" s="55" t="s">
        <v>95</v>
      </c>
      <c r="C154" s="52">
        <f t="shared" ref="C154:K154" si="107">C144+C147+C148+C149+C150+C151+C152</f>
        <v>204582.87391285144</v>
      </c>
      <c r="D154" s="52">
        <f t="shared" si="107"/>
        <v>300432.0327399933</v>
      </c>
      <c r="E154" s="52">
        <f t="shared" si="107"/>
        <v>410614.29671036749</v>
      </c>
      <c r="F154" s="52">
        <f t="shared" si="107"/>
        <v>544199.95353786508</v>
      </c>
      <c r="G154" s="52">
        <f t="shared" si="107"/>
        <v>699690.5671383189</v>
      </c>
      <c r="H154" s="52">
        <f t="shared" si="107"/>
        <v>875090.16021283355</v>
      </c>
      <c r="I154" s="52">
        <f t="shared" si="107"/>
        <v>1077872.8126590773</v>
      </c>
      <c r="J154" s="52">
        <f t="shared" si="107"/>
        <v>1305079.4726231564</v>
      </c>
      <c r="K154" s="52">
        <f t="shared" si="107"/>
        <v>1557627.9711992403</v>
      </c>
      <c r="L154" s="21"/>
      <c r="M154" s="34"/>
      <c r="N154" s="34"/>
      <c r="O154" s="56"/>
      <c r="P154" s="57"/>
      <c r="Q154" s="57"/>
      <c r="R154" s="57"/>
      <c r="S154" s="56"/>
      <c r="T154" s="56"/>
      <c r="U154" s="25"/>
      <c r="V154" s="25"/>
      <c r="W154" s="56"/>
      <c r="X154" s="56"/>
      <c r="Y154" s="57"/>
      <c r="Z154" s="57"/>
      <c r="AA154" s="57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</row>
    <row r="155" spans="1:45" s="58" customFormat="1">
      <c r="A155" s="55"/>
      <c r="B155" s="55"/>
      <c r="C155" s="53"/>
      <c r="D155" s="53"/>
      <c r="E155" s="53"/>
      <c r="F155" s="53"/>
      <c r="G155" s="53"/>
      <c r="H155" s="53"/>
      <c r="I155" s="53"/>
      <c r="J155" s="53"/>
      <c r="K155" s="53"/>
      <c r="L155" s="5"/>
      <c r="M155" s="24"/>
      <c r="N155" s="24"/>
      <c r="O155" s="56"/>
      <c r="P155" s="57"/>
      <c r="Q155" s="57"/>
      <c r="R155" s="57"/>
      <c r="S155" s="56"/>
      <c r="T155" s="56"/>
      <c r="U155" s="56"/>
      <c r="V155" s="56"/>
      <c r="W155" s="56"/>
      <c r="X155" s="56"/>
      <c r="Y155" s="57"/>
      <c r="Z155" s="57"/>
      <c r="AA155" s="57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</row>
    <row r="156" spans="1:45" s="12" customFormat="1">
      <c r="A156" s="29" t="s">
        <v>4</v>
      </c>
      <c r="B156" s="29"/>
      <c r="C156" s="31">
        <v>200</v>
      </c>
      <c r="D156" s="31">
        <v>400</v>
      </c>
      <c r="E156" s="31">
        <v>600</v>
      </c>
      <c r="F156" s="31">
        <v>800</v>
      </c>
      <c r="G156" s="31">
        <v>1000</v>
      </c>
      <c r="H156" s="31">
        <v>1200</v>
      </c>
      <c r="I156" s="31">
        <v>1400</v>
      </c>
      <c r="J156" s="31">
        <v>1600</v>
      </c>
      <c r="K156" s="31">
        <v>1800</v>
      </c>
      <c r="L156" s="25"/>
      <c r="M156" s="34"/>
      <c r="N156" s="34"/>
      <c r="O156" s="34"/>
      <c r="P156" s="31"/>
      <c r="Q156" s="31"/>
      <c r="R156" s="31"/>
      <c r="S156" s="34"/>
      <c r="T156" s="34"/>
      <c r="U156" s="21"/>
      <c r="V156" s="34"/>
      <c r="W156" s="34"/>
      <c r="X156" s="34"/>
      <c r="Y156" s="31"/>
      <c r="Z156" s="31"/>
      <c r="AA156" s="31"/>
      <c r="AB156" s="34"/>
      <c r="AC156" s="34"/>
      <c r="AD156" s="34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</row>
    <row r="157" spans="1:45">
      <c r="L157" s="25"/>
      <c r="M157" s="34"/>
      <c r="N157" s="34"/>
      <c r="O157" s="24"/>
      <c r="P157" s="24"/>
      <c r="Q157" s="24"/>
      <c r="R157" s="24"/>
      <c r="S157" s="24"/>
      <c r="T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45" s="12" customFormat="1">
      <c r="A158" s="27" t="s">
        <v>81</v>
      </c>
      <c r="B158" s="27"/>
      <c r="C158" s="30">
        <f t="shared" ref="C158:K158" si="108">IF($F$6=0,0,0.71*$I$6/1000*C156/$F$6/$C$6)</f>
        <v>0</v>
      </c>
      <c r="D158" s="30">
        <f t="shared" si="108"/>
        <v>0</v>
      </c>
      <c r="E158" s="30">
        <f t="shared" si="108"/>
        <v>0</v>
      </c>
      <c r="F158" s="30">
        <f t="shared" si="108"/>
        <v>0</v>
      </c>
      <c r="G158" s="30">
        <f t="shared" si="108"/>
        <v>0</v>
      </c>
      <c r="H158" s="30">
        <f t="shared" si="108"/>
        <v>0</v>
      </c>
      <c r="I158" s="30">
        <f t="shared" si="108"/>
        <v>0</v>
      </c>
      <c r="J158" s="30">
        <f t="shared" si="108"/>
        <v>0</v>
      </c>
      <c r="K158" s="30">
        <f t="shared" si="108"/>
        <v>0</v>
      </c>
      <c r="L158" s="25"/>
      <c r="M158" s="34"/>
      <c r="N158" s="34"/>
      <c r="O158" s="34"/>
      <c r="P158" s="31"/>
      <c r="Q158" s="31"/>
      <c r="R158" s="31"/>
      <c r="S158" s="34"/>
      <c r="T158" s="34"/>
      <c r="U158" s="25"/>
      <c r="V158" s="34"/>
      <c r="W158" s="34"/>
      <c r="X158" s="34"/>
      <c r="Y158" s="31"/>
      <c r="Z158" s="31"/>
      <c r="AA158" s="31"/>
      <c r="AB158" s="34"/>
      <c r="AC158" s="34"/>
      <c r="AD158" s="34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</row>
    <row r="159" spans="1:45" s="12" customFormat="1">
      <c r="A159" s="27" t="s">
        <v>82</v>
      </c>
      <c r="B159" s="27"/>
      <c r="C159" s="30">
        <f t="shared" ref="C159:K159" si="109">IF($F$7=0,0,0.5*$I$7/1000*C156/$F$7/$C$7)</f>
        <v>91.036414565826334</v>
      </c>
      <c r="D159" s="30">
        <f t="shared" si="109"/>
        <v>182.07282913165267</v>
      </c>
      <c r="E159" s="30">
        <f t="shared" si="109"/>
        <v>273.10924369747903</v>
      </c>
      <c r="F159" s="30">
        <f t="shared" si="109"/>
        <v>364.14565826330534</v>
      </c>
      <c r="G159" s="30">
        <f t="shared" si="109"/>
        <v>455.1820728291317</v>
      </c>
      <c r="H159" s="30">
        <f t="shared" si="109"/>
        <v>546.21848739495806</v>
      </c>
      <c r="I159" s="30">
        <f t="shared" si="109"/>
        <v>637.25490196078431</v>
      </c>
      <c r="J159" s="30">
        <f t="shared" si="109"/>
        <v>728.29131652661067</v>
      </c>
      <c r="K159" s="30">
        <f t="shared" si="109"/>
        <v>819.32773109243703</v>
      </c>
      <c r="L159" s="25"/>
      <c r="M159" s="34"/>
      <c r="N159" s="34"/>
      <c r="O159" s="34"/>
      <c r="P159" s="31"/>
      <c r="Q159" s="31"/>
      <c r="R159" s="31"/>
      <c r="S159" s="34"/>
      <c r="T159" s="34"/>
      <c r="U159" s="25"/>
      <c r="V159" s="34"/>
      <c r="W159" s="34"/>
      <c r="X159" s="34"/>
      <c r="Y159" s="31"/>
      <c r="Z159" s="31"/>
      <c r="AA159" s="31"/>
      <c r="AB159" s="34"/>
      <c r="AC159" s="34"/>
      <c r="AD159" s="34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</row>
    <row r="160" spans="1:45" s="12" customFormat="1">
      <c r="A160" s="27" t="s">
        <v>83</v>
      </c>
      <c r="B160" s="27"/>
      <c r="C160" s="30">
        <f t="shared" ref="C160:K160" si="110">IF($F$8=0,0,0.8*$I$8/1000*C156/$F$8/$C$8)</f>
        <v>610.02039215686284</v>
      </c>
      <c r="D160" s="30">
        <f t="shared" si="110"/>
        <v>1220.0407843137257</v>
      </c>
      <c r="E160" s="30">
        <f t="shared" si="110"/>
        <v>1830.0611764705884</v>
      </c>
      <c r="F160" s="30">
        <f t="shared" si="110"/>
        <v>2440.0815686274514</v>
      </c>
      <c r="G160" s="30">
        <f t="shared" si="110"/>
        <v>3050.1019607843141</v>
      </c>
      <c r="H160" s="30">
        <f t="shared" si="110"/>
        <v>3660.1223529411768</v>
      </c>
      <c r="I160" s="30">
        <f t="shared" si="110"/>
        <v>4270.14274509804</v>
      </c>
      <c r="J160" s="30">
        <f t="shared" si="110"/>
        <v>4880.1631372549027</v>
      </c>
      <c r="K160" s="30">
        <f t="shared" si="110"/>
        <v>5490.1835294117654</v>
      </c>
      <c r="L160" s="25"/>
      <c r="M160" s="34"/>
      <c r="N160" s="34"/>
      <c r="O160" s="34"/>
      <c r="P160" s="31"/>
      <c r="Q160" s="31"/>
      <c r="R160" s="31"/>
      <c r="S160" s="34"/>
      <c r="T160" s="34"/>
      <c r="U160" s="25"/>
      <c r="V160" s="34"/>
      <c r="W160" s="34"/>
      <c r="X160" s="34"/>
      <c r="Y160" s="31"/>
      <c r="Z160" s="31"/>
      <c r="AA160" s="31"/>
      <c r="AB160" s="34"/>
      <c r="AC160" s="34"/>
      <c r="AD160" s="34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</row>
    <row r="161" spans="1:45" s="12" customFormat="1">
      <c r="A161" s="27" t="s">
        <v>84</v>
      </c>
      <c r="B161" s="27"/>
      <c r="C161" s="30">
        <f t="shared" ref="C161:K161" si="111">IF($E$9=0,0,0.55*$I$9/1000*C156/$F$9/$C$9)</f>
        <v>2838.0509259259256</v>
      </c>
      <c r="D161" s="30">
        <f t="shared" si="111"/>
        <v>5676.1018518518513</v>
      </c>
      <c r="E161" s="30">
        <f t="shared" si="111"/>
        <v>8514.1527777777792</v>
      </c>
      <c r="F161" s="30">
        <f t="shared" si="111"/>
        <v>11352.203703703703</v>
      </c>
      <c r="G161" s="30">
        <f t="shared" si="111"/>
        <v>14190.254629629633</v>
      </c>
      <c r="H161" s="30">
        <f t="shared" si="111"/>
        <v>17028.305555555558</v>
      </c>
      <c r="I161" s="30">
        <f t="shared" si="111"/>
        <v>19866.356481481482</v>
      </c>
      <c r="J161" s="30">
        <f t="shared" si="111"/>
        <v>22704.407407407405</v>
      </c>
      <c r="K161" s="30">
        <f t="shared" si="111"/>
        <v>25542.458333333332</v>
      </c>
      <c r="L161" s="25"/>
      <c r="M161" s="34"/>
      <c r="N161" s="34"/>
      <c r="O161" s="34"/>
      <c r="P161" s="31"/>
      <c r="Q161" s="31"/>
      <c r="R161" s="31"/>
      <c r="S161" s="34"/>
      <c r="T161" s="34"/>
      <c r="U161" s="25"/>
      <c r="V161" s="34"/>
      <c r="W161" s="34"/>
      <c r="X161" s="34"/>
      <c r="Y161" s="31"/>
      <c r="Z161" s="31"/>
      <c r="AA161" s="31"/>
      <c r="AB161" s="34"/>
      <c r="AC161" s="34"/>
      <c r="AD161" s="34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</row>
    <row r="162" spans="1:45" s="12" customFormat="1">
      <c r="A162" s="27" t="s">
        <v>85</v>
      </c>
      <c r="B162" s="27"/>
      <c r="C162" s="30">
        <f>IF($F$10=0,0,0.48*$I$10/1000*C156/$F$10/$C$10)</f>
        <v>346.57219047619043</v>
      </c>
      <c r="D162" s="30">
        <f t="shared" ref="D162:K162" si="112">IF($F$10=0,0,0.48*$I$10/1000*D156/$F$10/$C$10)</f>
        <v>693.14438095238086</v>
      </c>
      <c r="E162" s="30">
        <f t="shared" si="112"/>
        <v>1039.7165714285713</v>
      </c>
      <c r="F162" s="30">
        <f t="shared" si="112"/>
        <v>1386.2887619047617</v>
      </c>
      <c r="G162" s="30">
        <f t="shared" si="112"/>
        <v>1732.8609523809521</v>
      </c>
      <c r="H162" s="30">
        <f t="shared" si="112"/>
        <v>2079.4331428571427</v>
      </c>
      <c r="I162" s="30">
        <f t="shared" si="112"/>
        <v>2426.0053333333331</v>
      </c>
      <c r="J162" s="30">
        <f t="shared" si="112"/>
        <v>2772.5775238095234</v>
      </c>
      <c r="K162" s="30">
        <f t="shared" si="112"/>
        <v>3119.1497142857147</v>
      </c>
      <c r="L162" s="25"/>
      <c r="M162" s="34"/>
      <c r="N162" s="34"/>
      <c r="O162" s="34"/>
      <c r="P162" s="31"/>
      <c r="Q162" s="31"/>
      <c r="R162" s="31"/>
      <c r="S162" s="34"/>
      <c r="T162" s="34"/>
      <c r="U162" s="25"/>
      <c r="V162" s="34"/>
      <c r="W162" s="34"/>
      <c r="X162" s="34"/>
      <c r="Y162" s="31"/>
      <c r="Z162" s="31"/>
      <c r="AA162" s="31"/>
      <c r="AB162" s="34"/>
      <c r="AC162" s="34"/>
      <c r="AD162" s="34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</row>
    <row r="163" spans="1:45" s="12" customFormat="1">
      <c r="A163" s="27" t="s">
        <v>98</v>
      </c>
      <c r="B163" s="27"/>
      <c r="C163" s="30">
        <f t="shared" ref="C163:K163" si="113">0.089*$I$5/1000*(C104-C98*$D$19)</f>
        <v>4151.5498368952303</v>
      </c>
      <c r="D163" s="30">
        <f t="shared" si="113"/>
        <v>8303.0996737904607</v>
      </c>
      <c r="E163" s="30">
        <f t="shared" si="113"/>
        <v>11934.094406968243</v>
      </c>
      <c r="F163" s="30">
        <f t="shared" si="113"/>
        <v>15912.125875957661</v>
      </c>
      <c r="G163" s="30">
        <f t="shared" si="113"/>
        <v>19890.157344947074</v>
      </c>
      <c r="H163" s="30">
        <f t="shared" si="113"/>
        <v>23442.286827589327</v>
      </c>
      <c r="I163" s="30">
        <f t="shared" si="113"/>
        <v>27349.334632187547</v>
      </c>
      <c r="J163" s="30">
        <f t="shared" si="113"/>
        <v>31256.382436785774</v>
      </c>
      <c r="K163" s="30">
        <f t="shared" si="113"/>
        <v>35163.430241383998</v>
      </c>
      <c r="L163" s="46"/>
      <c r="M163" s="34"/>
      <c r="N163" s="34"/>
      <c r="O163" s="34"/>
      <c r="P163" s="31"/>
      <c r="Q163" s="31"/>
      <c r="R163" s="31"/>
      <c r="S163" s="34"/>
      <c r="T163" s="34"/>
      <c r="U163" s="25"/>
      <c r="V163" s="34"/>
      <c r="W163" s="34"/>
      <c r="X163" s="34"/>
      <c r="Y163" s="31"/>
      <c r="Z163" s="31"/>
      <c r="AA163" s="31"/>
      <c r="AB163" s="34"/>
      <c r="AC163" s="34"/>
      <c r="AD163" s="34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</row>
    <row r="164" spans="1:45" s="12" customFormat="1">
      <c r="A164" s="29" t="s">
        <v>12</v>
      </c>
      <c r="B164" s="29"/>
      <c r="C164" s="31">
        <f t="shared" ref="C164:K164" si="114">SUM(C158:C163)</f>
        <v>8037.2297600200354</v>
      </c>
      <c r="D164" s="31">
        <f t="shared" si="114"/>
        <v>16074.459520040071</v>
      </c>
      <c r="E164" s="31">
        <f t="shared" si="114"/>
        <v>23591.134176342661</v>
      </c>
      <c r="F164" s="31">
        <f t="shared" si="114"/>
        <v>31454.845568456883</v>
      </c>
      <c r="G164" s="31">
        <f t="shared" si="114"/>
        <v>39318.556960571106</v>
      </c>
      <c r="H164" s="31">
        <f t="shared" si="114"/>
        <v>46756.366366338159</v>
      </c>
      <c r="I164" s="31">
        <f t="shared" si="114"/>
        <v>54549.094094061191</v>
      </c>
      <c r="J164" s="31">
        <f t="shared" si="114"/>
        <v>62341.821821784215</v>
      </c>
      <c r="K164" s="31">
        <f t="shared" si="114"/>
        <v>70134.549549507239</v>
      </c>
      <c r="L164" s="25"/>
      <c r="M164" s="34"/>
      <c r="N164" s="34"/>
      <c r="O164" s="34"/>
      <c r="P164" s="31"/>
      <c r="Q164" s="31"/>
      <c r="R164" s="31"/>
      <c r="S164" s="34"/>
      <c r="T164" s="34"/>
      <c r="U164" s="25"/>
      <c r="V164" s="34"/>
      <c r="W164" s="34"/>
      <c r="X164" s="34"/>
      <c r="Y164" s="31"/>
      <c r="Z164" s="31"/>
      <c r="AA164" s="31"/>
      <c r="AB164" s="34"/>
      <c r="AC164" s="34"/>
      <c r="AD164" s="34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</row>
    <row r="165" spans="1:45" s="12" customFormat="1">
      <c r="A165" s="29" t="s">
        <v>32</v>
      </c>
      <c r="B165" s="29"/>
      <c r="C165" s="46">
        <f t="shared" ref="C165:K165" si="115">(99.94-5.257*C108+0.1755*C108*C108-0.06767*$F$5-0.002662*C105*C108)/100*$I$5</f>
        <v>590233.71265206288</v>
      </c>
      <c r="D165" s="46">
        <f t="shared" si="115"/>
        <v>555425.24320412579</v>
      </c>
      <c r="E165" s="46">
        <f t="shared" si="115"/>
        <v>524579.67315051798</v>
      </c>
      <c r="F165" s="46">
        <f t="shared" si="115"/>
        <v>491092.1701673572</v>
      </c>
      <c r="G165" s="46">
        <f t="shared" si="115"/>
        <v>457604.66718419653</v>
      </c>
      <c r="H165" s="46">
        <f t="shared" si="115"/>
        <v>427174.81403099443</v>
      </c>
      <c r="I165" s="46">
        <f t="shared" si="115"/>
        <v>446069.75922051736</v>
      </c>
      <c r="J165" s="46">
        <f t="shared" si="115"/>
        <v>476011.66110541305</v>
      </c>
      <c r="K165" s="46">
        <f t="shared" si="115"/>
        <v>505095.86251977191</v>
      </c>
      <c r="L165" s="25"/>
      <c r="M165" s="34"/>
      <c r="N165" s="34"/>
      <c r="O165" s="34"/>
      <c r="P165" s="31"/>
      <c r="Q165" s="31"/>
      <c r="R165" s="31"/>
      <c r="S165" s="34"/>
      <c r="T165" s="34"/>
      <c r="U165" s="46"/>
      <c r="V165" s="34"/>
      <c r="W165" s="34"/>
      <c r="X165" s="34"/>
      <c r="Y165" s="31"/>
      <c r="Z165" s="31"/>
      <c r="AA165" s="31"/>
      <c r="AB165" s="34"/>
      <c r="AC165" s="34"/>
      <c r="AD165" s="34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</row>
    <row r="166" spans="1:45" s="12" customFormat="1">
      <c r="A166" s="29" t="s">
        <v>33</v>
      </c>
      <c r="B166" s="29"/>
      <c r="C166" s="31">
        <f t="shared" ref="C166:K166" si="116">$I$10*0.9^C110</f>
        <v>46827.467301342811</v>
      </c>
      <c r="D166" s="31">
        <f t="shared" si="116"/>
        <v>46827.467301342811</v>
      </c>
      <c r="E166" s="31">
        <f t="shared" si="116"/>
        <v>46827.467301342811</v>
      </c>
      <c r="F166" s="31">
        <f t="shared" si="116"/>
        <v>46827.467301342811</v>
      </c>
      <c r="G166" s="31">
        <f t="shared" si="116"/>
        <v>46827.467301342811</v>
      </c>
      <c r="H166" s="31">
        <f t="shared" si="116"/>
        <v>46827.467301342811</v>
      </c>
      <c r="I166" s="31">
        <f t="shared" si="116"/>
        <v>46827.467301342811</v>
      </c>
      <c r="J166" s="31">
        <f t="shared" si="116"/>
        <v>46827.467301342811</v>
      </c>
      <c r="K166" s="31">
        <f t="shared" si="116"/>
        <v>46827.467301342811</v>
      </c>
      <c r="L166" s="25"/>
      <c r="M166" s="34"/>
      <c r="N166" s="34"/>
      <c r="O166" s="34"/>
      <c r="P166" s="31"/>
      <c r="Q166" s="31"/>
      <c r="R166" s="31"/>
      <c r="S166" s="34"/>
      <c r="T166" s="34"/>
      <c r="U166" s="25"/>
      <c r="V166" s="34"/>
      <c r="W166" s="34"/>
      <c r="X166" s="34"/>
      <c r="Y166" s="31"/>
      <c r="Z166" s="31"/>
      <c r="AA166" s="31"/>
      <c r="AB166" s="34"/>
      <c r="AC166" s="34"/>
      <c r="AD166" s="34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</row>
    <row r="167" spans="1:45" s="12" customFormat="1">
      <c r="A167" s="29" t="s">
        <v>63</v>
      </c>
      <c r="B167" s="29"/>
      <c r="C167" s="31">
        <f t="shared" ref="C167:K167" si="117">+(($I$5-C165)/C108+($I$5+C165)/2*$D$21)/C105*(C104-C98*$D$19)</f>
        <v>28177.605691898498</v>
      </c>
      <c r="D167" s="31">
        <f t="shared" si="117"/>
        <v>35782.367698010021</v>
      </c>
      <c r="E167" s="31">
        <f t="shared" si="117"/>
        <v>39213.304937294648</v>
      </c>
      <c r="F167" s="31">
        <f t="shared" si="117"/>
        <v>41870.055805135205</v>
      </c>
      <c r="G167" s="31">
        <f t="shared" si="117"/>
        <v>43908.986791209958</v>
      </c>
      <c r="H167" s="31">
        <f t="shared" si="117"/>
        <v>45341.514610431324</v>
      </c>
      <c r="I167" s="31">
        <f t="shared" si="117"/>
        <v>49418.203451813824</v>
      </c>
      <c r="J167" s="31">
        <f t="shared" si="117"/>
        <v>53576.697445237172</v>
      </c>
      <c r="K167" s="31">
        <f t="shared" si="117"/>
        <v>57428.685302576458</v>
      </c>
      <c r="L167" s="25"/>
      <c r="M167" s="34"/>
      <c r="N167" s="34"/>
      <c r="O167" s="34"/>
      <c r="P167" s="31"/>
      <c r="Q167" s="31"/>
      <c r="R167" s="31"/>
      <c r="S167" s="34"/>
      <c r="T167" s="34"/>
      <c r="U167" s="25"/>
      <c r="V167" s="34"/>
      <c r="W167" s="34"/>
      <c r="X167" s="34"/>
      <c r="Y167" s="31"/>
      <c r="Z167" s="31"/>
      <c r="AA167" s="31"/>
      <c r="AB167" s="34"/>
      <c r="AC167" s="34"/>
      <c r="AD167" s="34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</row>
    <row r="168" spans="1:45" s="12" customFormat="1">
      <c r="A168" s="29" t="s">
        <v>26</v>
      </c>
      <c r="B168" s="29"/>
      <c r="C168" s="31">
        <f t="shared" ref="C168:K168" si="118">+($I$11-C166)/C110+($I$11+C166)/2*$D$21</f>
        <v>169183.23152593733</v>
      </c>
      <c r="D168" s="31">
        <f t="shared" si="118"/>
        <v>169183.23152593733</v>
      </c>
      <c r="E168" s="31">
        <f t="shared" si="118"/>
        <v>169183.23152593733</v>
      </c>
      <c r="F168" s="31">
        <f t="shared" si="118"/>
        <v>169183.23152593733</v>
      </c>
      <c r="G168" s="31">
        <f t="shared" si="118"/>
        <v>169183.23152593733</v>
      </c>
      <c r="H168" s="31">
        <f t="shared" si="118"/>
        <v>169183.23152593733</v>
      </c>
      <c r="I168" s="31">
        <f t="shared" si="118"/>
        <v>169183.23152593733</v>
      </c>
      <c r="J168" s="31">
        <f t="shared" si="118"/>
        <v>169183.23152593733</v>
      </c>
      <c r="K168" s="31">
        <f t="shared" si="118"/>
        <v>169183.23152593733</v>
      </c>
      <c r="L168" s="25"/>
      <c r="M168" s="34"/>
      <c r="N168" s="34"/>
      <c r="O168" s="34"/>
      <c r="P168" s="31"/>
      <c r="Q168" s="31"/>
      <c r="R168" s="31"/>
      <c r="S168" s="34"/>
      <c r="T168" s="34"/>
      <c r="U168" s="25"/>
      <c r="V168" s="34"/>
      <c r="W168" s="34"/>
      <c r="X168" s="34"/>
      <c r="Y168" s="31"/>
      <c r="Z168" s="31"/>
      <c r="AA168" s="31"/>
      <c r="AB168" s="34"/>
      <c r="AC168" s="34"/>
      <c r="AD168" s="34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</row>
    <row r="169" spans="1:45" s="12" customFormat="1">
      <c r="A169" s="27" t="s">
        <v>99</v>
      </c>
      <c r="B169" s="27"/>
      <c r="C169" s="30">
        <f t="shared" ref="C169:K169" si="119">+(C104-C98*$D$19)*$D$15</f>
        <v>8593.8931535255469</v>
      </c>
      <c r="D169" s="30">
        <f t="shared" si="119"/>
        <v>17187.786307051094</v>
      </c>
      <c r="E169" s="30">
        <f t="shared" si="119"/>
        <v>24704.107200185383</v>
      </c>
      <c r="F169" s="30">
        <f t="shared" si="119"/>
        <v>32938.809600247187</v>
      </c>
      <c r="G169" s="30">
        <f t="shared" si="119"/>
        <v>41173.512000308976</v>
      </c>
      <c r="H169" s="30">
        <f t="shared" si="119"/>
        <v>48526.578310635407</v>
      </c>
      <c r="I169" s="30">
        <f t="shared" si="119"/>
        <v>56614.341362407969</v>
      </c>
      <c r="J169" s="30">
        <f t="shared" si="119"/>
        <v>64702.104414180554</v>
      </c>
      <c r="K169" s="30">
        <f t="shared" si="119"/>
        <v>72789.86746595311</v>
      </c>
      <c r="L169" s="25"/>
      <c r="M169" s="34"/>
      <c r="N169" s="34"/>
      <c r="O169" s="34"/>
      <c r="P169" s="31"/>
      <c r="Q169" s="31"/>
      <c r="R169" s="31"/>
      <c r="S169" s="34"/>
      <c r="T169" s="34"/>
      <c r="U169" s="25"/>
      <c r="V169" s="34"/>
      <c r="W169" s="34"/>
      <c r="X169" s="34"/>
      <c r="Y169" s="31"/>
      <c r="Z169" s="31"/>
      <c r="AA169" s="31"/>
      <c r="AB169" s="34"/>
      <c r="AC169" s="34"/>
      <c r="AD169" s="34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</row>
    <row r="170" spans="1:45" s="12" customFormat="1">
      <c r="A170" s="27" t="s">
        <v>100</v>
      </c>
      <c r="B170" s="27"/>
      <c r="C170" s="30">
        <f t="shared" ref="C170:K170" si="120">+(C104-C98*$D$19)*$D$16*(0.00008+0.127)*$D$5</f>
        <v>3360.3444367693123</v>
      </c>
      <c r="D170" s="30">
        <f t="shared" si="120"/>
        <v>6720.6888735386246</v>
      </c>
      <c r="E170" s="30">
        <f t="shared" si="120"/>
        <v>9659.6859784601802</v>
      </c>
      <c r="F170" s="30">
        <f t="shared" si="120"/>
        <v>12879.581304613575</v>
      </c>
      <c r="G170" s="30">
        <f t="shared" si="120"/>
        <v>16099.476630766969</v>
      </c>
      <c r="H170" s="30">
        <f t="shared" si="120"/>
        <v>18974.638682201683</v>
      </c>
      <c r="I170" s="30">
        <f t="shared" si="120"/>
        <v>22137.078462568636</v>
      </c>
      <c r="J170" s="30">
        <f t="shared" si="120"/>
        <v>25299.518242935577</v>
      </c>
      <c r="K170" s="30">
        <f t="shared" si="120"/>
        <v>28461.958023302526</v>
      </c>
      <c r="L170" s="25"/>
      <c r="M170" s="34"/>
      <c r="N170" s="34"/>
      <c r="O170" s="34"/>
      <c r="P170" s="98"/>
      <c r="Q170" s="31"/>
      <c r="R170" s="31"/>
      <c r="S170" s="34"/>
      <c r="T170" s="34"/>
      <c r="U170" s="25"/>
      <c r="V170" s="34"/>
      <c r="W170" s="34"/>
      <c r="X170" s="34"/>
      <c r="Y170" s="98"/>
      <c r="Z170" s="31"/>
      <c r="AA170" s="31"/>
      <c r="AB170" s="34"/>
      <c r="AC170" s="34"/>
      <c r="AD170" s="34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</row>
    <row r="171" spans="1:45" s="12" customFormat="1">
      <c r="A171" s="29" t="s">
        <v>13</v>
      </c>
      <c r="B171" s="29"/>
      <c r="C171" s="49">
        <f t="shared" ref="C171:K171" si="121">C111/100*$D$23*$D$17*C156</f>
        <v>49262.375563048598</v>
      </c>
      <c r="D171" s="49">
        <f t="shared" si="121"/>
        <v>117333.2310105192</v>
      </c>
      <c r="E171" s="49">
        <f t="shared" si="121"/>
        <v>201696.35189707982</v>
      </c>
      <c r="F171" s="49">
        <f t="shared" si="121"/>
        <v>308054.37407117948</v>
      </c>
      <c r="G171" s="49">
        <f t="shared" si="121"/>
        <v>435397.74868281471</v>
      </c>
      <c r="H171" s="49">
        <f t="shared" si="121"/>
        <v>580285.52829202963</v>
      </c>
      <c r="I171" s="49">
        <f t="shared" si="121"/>
        <v>750871.89510827733</v>
      </c>
      <c r="J171" s="49">
        <f t="shared" si="121"/>
        <v>944840.41966764163</v>
      </c>
      <c r="K171" s="49">
        <f t="shared" si="121"/>
        <v>1163044.5419701233</v>
      </c>
      <c r="L171" s="25"/>
      <c r="M171" s="34"/>
      <c r="N171" s="31"/>
      <c r="O171" s="34"/>
      <c r="P171" s="98"/>
      <c r="Q171" s="31"/>
      <c r="R171" s="31"/>
      <c r="S171" s="34"/>
      <c r="T171" s="34"/>
      <c r="U171" s="25"/>
      <c r="V171" s="34"/>
      <c r="W171" s="34"/>
      <c r="X171" s="34"/>
      <c r="Y171" s="98"/>
      <c r="Z171" s="31"/>
      <c r="AA171" s="31"/>
      <c r="AB171" s="34"/>
      <c r="AC171" s="34"/>
      <c r="AD171" s="34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</row>
    <row r="172" spans="1:45" s="12" customFormat="1">
      <c r="A172" s="54" t="s">
        <v>38</v>
      </c>
      <c r="B172" s="54"/>
      <c r="C172" s="33">
        <f>+C156*$D$23*$F$13/100</f>
        <v>0</v>
      </c>
      <c r="D172" s="33">
        <f t="shared" ref="D172:K172" si="122">+D156*$D$23*$F$13/100</f>
        <v>0</v>
      </c>
      <c r="E172" s="33">
        <f t="shared" si="122"/>
        <v>0</v>
      </c>
      <c r="F172" s="33">
        <f t="shared" si="122"/>
        <v>0</v>
      </c>
      <c r="G172" s="33">
        <f t="shared" si="122"/>
        <v>0</v>
      </c>
      <c r="H172" s="33">
        <f t="shared" si="122"/>
        <v>0</v>
      </c>
      <c r="I172" s="33">
        <f t="shared" si="122"/>
        <v>0</v>
      </c>
      <c r="J172" s="33">
        <f t="shared" si="122"/>
        <v>0</v>
      </c>
      <c r="K172" s="33">
        <f t="shared" si="122"/>
        <v>0</v>
      </c>
      <c r="L172" s="25"/>
      <c r="M172" s="34"/>
      <c r="N172" s="99"/>
      <c r="O172" s="34"/>
      <c r="P172" s="98"/>
      <c r="Q172" s="31"/>
      <c r="R172" s="31"/>
      <c r="S172" s="34"/>
      <c r="T172" s="34"/>
      <c r="U172" s="25"/>
      <c r="V172" s="34"/>
      <c r="W172" s="34"/>
      <c r="X172" s="34"/>
      <c r="Y172" s="98"/>
      <c r="Z172" s="31"/>
      <c r="AA172" s="31"/>
      <c r="AB172" s="34"/>
      <c r="AC172" s="34"/>
      <c r="AD172" s="34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</row>
    <row r="173" spans="1:45" s="12" customFormat="1">
      <c r="A173" s="54" t="s">
        <v>77</v>
      </c>
      <c r="B173" s="54"/>
      <c r="C173" s="33">
        <f t="shared" ref="C173:K173" si="123">+C167+C168+C170+C164</f>
        <v>208758.41141462518</v>
      </c>
      <c r="D173" s="33">
        <f t="shared" si="123"/>
        <v>227760.74761752607</v>
      </c>
      <c r="E173" s="33">
        <f t="shared" si="123"/>
        <v>241647.35661803483</v>
      </c>
      <c r="F173" s="33">
        <f t="shared" si="123"/>
        <v>255387.71420414301</v>
      </c>
      <c r="G173" s="33">
        <f t="shared" si="123"/>
        <v>268510.25190848537</v>
      </c>
      <c r="H173" s="33">
        <f t="shared" si="123"/>
        <v>280255.7511849085</v>
      </c>
      <c r="I173" s="33">
        <f t="shared" si="123"/>
        <v>295287.60753438098</v>
      </c>
      <c r="J173" s="33">
        <f t="shared" si="123"/>
        <v>310401.26903589425</v>
      </c>
      <c r="K173" s="33">
        <f t="shared" si="123"/>
        <v>325208.42440132354</v>
      </c>
      <c r="L173" s="7"/>
      <c r="M173" s="7"/>
      <c r="N173" s="7"/>
      <c r="O173" s="34"/>
      <c r="P173" s="73"/>
      <c r="Q173" s="31"/>
      <c r="R173" s="31"/>
      <c r="S173" s="34"/>
      <c r="T173" s="34"/>
      <c r="U173" s="25"/>
      <c r="V173" s="34"/>
      <c r="W173" s="31"/>
      <c r="X173" s="34"/>
      <c r="Y173" s="73"/>
      <c r="Z173" s="31"/>
      <c r="AA173" s="31"/>
      <c r="AB173" s="34"/>
      <c r="AC173" s="34"/>
      <c r="AD173" s="34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</row>
    <row r="174" spans="1:45" s="58" customFormat="1">
      <c r="A174" s="55" t="s">
        <v>29</v>
      </c>
      <c r="B174" s="55" t="s">
        <v>96</v>
      </c>
      <c r="C174" s="52">
        <f t="shared" ref="C174:K174" si="124">C164+C167+C168+C169+C170+C171+C172</f>
        <v>266614.6801311993</v>
      </c>
      <c r="D174" s="52">
        <f t="shared" si="124"/>
        <v>362281.76493509632</v>
      </c>
      <c r="E174" s="52">
        <f t="shared" si="124"/>
        <v>468047.81571530004</v>
      </c>
      <c r="F174" s="52">
        <f t="shared" si="124"/>
        <v>596380.89787556964</v>
      </c>
      <c r="G174" s="52">
        <f t="shared" si="124"/>
        <v>745081.51259160903</v>
      </c>
      <c r="H174" s="52">
        <f t="shared" si="124"/>
        <v>909067.85778757348</v>
      </c>
      <c r="I174" s="52">
        <f t="shared" si="124"/>
        <v>1102773.8440050662</v>
      </c>
      <c r="J174" s="52">
        <f t="shared" si="124"/>
        <v>1319943.7931177164</v>
      </c>
      <c r="K174" s="52">
        <f t="shared" si="124"/>
        <v>1561042.8338374</v>
      </c>
      <c r="L174" s="7"/>
      <c r="M174" s="7"/>
      <c r="N174" s="7"/>
      <c r="O174" s="99"/>
      <c r="P174" s="100"/>
      <c r="Q174" s="53"/>
      <c r="R174" s="53"/>
      <c r="S174" s="99"/>
      <c r="T174" s="99"/>
      <c r="U174" s="25"/>
      <c r="V174" s="34"/>
      <c r="W174" s="99"/>
      <c r="X174" s="99"/>
      <c r="Y174" s="100"/>
      <c r="Z174" s="53"/>
      <c r="AA174" s="53"/>
      <c r="AB174" s="99"/>
      <c r="AC174" s="99"/>
      <c r="AD174" s="99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</row>
    <row r="175" spans="1:45">
      <c r="A175" s="60"/>
      <c r="B175" s="60"/>
      <c r="C175" s="61"/>
      <c r="D175" s="61"/>
      <c r="E175" s="61"/>
      <c r="F175" s="61"/>
      <c r="G175" s="62"/>
      <c r="H175" s="61"/>
      <c r="I175" s="61"/>
      <c r="J175" s="61"/>
      <c r="K175" s="61"/>
      <c r="L175" s="7"/>
      <c r="M175" s="7"/>
      <c r="N175" s="7"/>
      <c r="O175" s="7"/>
      <c r="P175" s="63"/>
      <c r="Q175" s="8"/>
      <c r="R175" s="8"/>
      <c r="S175" s="7"/>
      <c r="T175" s="7"/>
      <c r="U175" s="7"/>
      <c r="V175" s="7"/>
      <c r="W175" s="7"/>
      <c r="X175" s="7"/>
      <c r="Y175" s="63"/>
      <c r="Z175" s="8"/>
      <c r="AA175" s="8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</row>
    <row r="176" spans="1:45">
      <c r="A176" s="60"/>
      <c r="B176" s="60"/>
      <c r="C176" s="61">
        <f t="shared" ref="C176:K176" si="125">+C134</f>
        <v>147218.70338339853</v>
      </c>
      <c r="D176" s="61">
        <f t="shared" si="125"/>
        <v>255543.51036963897</v>
      </c>
      <c r="E176" s="61">
        <f t="shared" si="125"/>
        <v>383160.19334311492</v>
      </c>
      <c r="F176" s="61">
        <f t="shared" si="125"/>
        <v>537891.40957607841</v>
      </c>
      <c r="G176" s="62">
        <f t="shared" si="125"/>
        <v>717517.16916449321</v>
      </c>
      <c r="H176" s="61">
        <f t="shared" si="125"/>
        <v>919302.57958198641</v>
      </c>
      <c r="I176" s="61">
        <f t="shared" si="125"/>
        <v>1150380.090253084</v>
      </c>
      <c r="J176" s="61">
        <f t="shared" si="125"/>
        <v>1408885.8083357385</v>
      </c>
      <c r="K176" s="61">
        <f t="shared" si="125"/>
        <v>1695701.9993860757</v>
      </c>
      <c r="L176" s="7"/>
      <c r="M176" s="7"/>
      <c r="N176" s="7"/>
      <c r="O176" s="7"/>
      <c r="P176" s="63"/>
      <c r="Q176" s="8"/>
      <c r="R176" s="8"/>
      <c r="S176" s="7"/>
      <c r="T176" s="7"/>
      <c r="U176" s="7"/>
      <c r="V176" s="7"/>
      <c r="W176" s="7"/>
      <c r="X176" s="7"/>
      <c r="Y176" s="63"/>
      <c r="Z176" s="8"/>
      <c r="AA176" s="8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</row>
    <row r="177" spans="1:45">
      <c r="A177" s="60"/>
      <c r="B177" s="60"/>
      <c r="C177" s="61">
        <f t="shared" ref="C177:K177" si="126">+C154</f>
        <v>204582.87391285144</v>
      </c>
      <c r="D177" s="61">
        <f t="shared" si="126"/>
        <v>300432.0327399933</v>
      </c>
      <c r="E177" s="61">
        <f t="shared" si="126"/>
        <v>410614.29671036749</v>
      </c>
      <c r="F177" s="61">
        <f t="shared" si="126"/>
        <v>544199.95353786508</v>
      </c>
      <c r="G177" s="62">
        <f t="shared" si="126"/>
        <v>699690.5671383189</v>
      </c>
      <c r="H177" s="61">
        <f t="shared" si="126"/>
        <v>875090.16021283355</v>
      </c>
      <c r="I177" s="61">
        <f t="shared" si="126"/>
        <v>1077872.8126590773</v>
      </c>
      <c r="J177" s="61">
        <f t="shared" si="126"/>
        <v>1305079.4726231564</v>
      </c>
      <c r="K177" s="61">
        <f t="shared" si="126"/>
        <v>1557627.9711992403</v>
      </c>
      <c r="L177" s="7"/>
      <c r="M177" s="7"/>
      <c r="N177" s="7"/>
      <c r="O177" s="7"/>
      <c r="P177" s="63"/>
      <c r="Q177" s="8"/>
      <c r="R177" s="8"/>
      <c r="S177" s="7"/>
      <c r="T177" s="7"/>
      <c r="U177" s="7"/>
      <c r="V177" s="7"/>
      <c r="W177" s="7"/>
      <c r="X177" s="7"/>
      <c r="Y177" s="63"/>
      <c r="Z177" s="8"/>
      <c r="AA177" s="8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</row>
    <row r="178" spans="1:45">
      <c r="A178" s="60"/>
      <c r="B178" s="60"/>
      <c r="C178" s="61">
        <f t="shared" ref="C178:K178" si="127">+C174</f>
        <v>266614.6801311993</v>
      </c>
      <c r="D178" s="61">
        <f t="shared" si="127"/>
        <v>362281.76493509632</v>
      </c>
      <c r="E178" s="61">
        <f t="shared" si="127"/>
        <v>468047.81571530004</v>
      </c>
      <c r="F178" s="61">
        <f t="shared" si="127"/>
        <v>596380.89787556964</v>
      </c>
      <c r="G178" s="62">
        <f t="shared" si="127"/>
        <v>745081.51259160903</v>
      </c>
      <c r="H178" s="61">
        <f t="shared" si="127"/>
        <v>909067.85778757348</v>
      </c>
      <c r="I178" s="61">
        <f t="shared" si="127"/>
        <v>1102773.8440050662</v>
      </c>
      <c r="J178" s="61">
        <f t="shared" si="127"/>
        <v>1319943.7931177164</v>
      </c>
      <c r="K178" s="61">
        <f t="shared" si="127"/>
        <v>1561042.8338374</v>
      </c>
      <c r="L178" s="7"/>
      <c r="M178" s="7"/>
      <c r="N178" s="7"/>
      <c r="O178" s="7"/>
      <c r="P178" s="63"/>
      <c r="Q178" s="8"/>
      <c r="R178" s="8"/>
      <c r="S178" s="7"/>
      <c r="T178" s="7"/>
      <c r="U178" s="7"/>
      <c r="V178" s="7"/>
      <c r="W178" s="7"/>
      <c r="X178" s="7"/>
      <c r="Y178" s="63"/>
      <c r="Z178" s="8"/>
      <c r="AA178" s="8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</row>
    <row r="179" spans="1:45">
      <c r="A179" s="60"/>
      <c r="B179" s="60"/>
      <c r="C179" s="61"/>
      <c r="D179" s="61"/>
      <c r="E179" s="61"/>
      <c r="F179" s="61"/>
      <c r="G179" s="62"/>
      <c r="H179" s="61"/>
      <c r="I179" s="61"/>
      <c r="J179" s="61"/>
      <c r="K179" s="61"/>
      <c r="L179" s="7"/>
      <c r="M179" s="7"/>
      <c r="N179" s="7"/>
      <c r="O179" s="7"/>
      <c r="P179" s="63"/>
      <c r="Q179" s="8"/>
      <c r="R179" s="8"/>
      <c r="S179" s="7"/>
      <c r="T179" s="7"/>
      <c r="U179" s="7"/>
      <c r="V179" s="7"/>
      <c r="W179" s="7"/>
      <c r="X179" s="7"/>
      <c r="Y179" s="63"/>
      <c r="Z179" s="8"/>
      <c r="AA179" s="8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</row>
    <row r="180" spans="1:45">
      <c r="A180" s="60"/>
      <c r="B180" s="60"/>
      <c r="C180" s="61"/>
      <c r="D180" s="61"/>
      <c r="E180" s="61"/>
      <c r="F180" s="61"/>
      <c r="G180" s="62"/>
      <c r="H180" s="61"/>
      <c r="I180" s="61"/>
      <c r="J180" s="61"/>
      <c r="K180" s="61"/>
      <c r="L180" s="7"/>
      <c r="M180" s="7"/>
      <c r="N180" s="7"/>
      <c r="O180" s="7"/>
      <c r="P180" s="63"/>
      <c r="Q180" s="8"/>
      <c r="R180" s="8"/>
      <c r="S180" s="7"/>
      <c r="T180" s="7"/>
      <c r="U180" s="7"/>
      <c r="V180" s="7"/>
      <c r="W180" s="7"/>
      <c r="X180" s="7"/>
      <c r="Y180" s="63"/>
      <c r="Z180" s="8"/>
      <c r="AA180" s="8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</row>
    <row r="181" spans="1:45">
      <c r="A181" s="60"/>
      <c r="B181" s="60"/>
      <c r="C181" s="61"/>
      <c r="D181" s="61"/>
      <c r="E181" s="61"/>
      <c r="F181" s="61"/>
      <c r="G181" s="62"/>
      <c r="H181" s="61"/>
      <c r="I181" s="61"/>
      <c r="J181" s="61"/>
      <c r="K181" s="61"/>
      <c r="L181" s="7"/>
      <c r="M181" s="7"/>
      <c r="N181" s="7"/>
      <c r="O181" s="7"/>
      <c r="P181" s="63"/>
      <c r="Q181" s="8"/>
      <c r="R181" s="8"/>
      <c r="S181" s="7"/>
      <c r="T181" s="7"/>
      <c r="U181" s="7"/>
      <c r="V181" s="7"/>
      <c r="W181" s="7"/>
      <c r="X181" s="7"/>
      <c r="Y181" s="63"/>
      <c r="Z181" s="8"/>
      <c r="AA181" s="8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</row>
    <row r="182" spans="1:45">
      <c r="A182" s="60"/>
      <c r="B182" s="60"/>
      <c r="C182" s="61"/>
      <c r="D182" s="61"/>
      <c r="E182" s="61"/>
      <c r="F182" s="61"/>
      <c r="G182" s="62"/>
      <c r="H182" s="61"/>
      <c r="I182" s="61"/>
      <c r="J182" s="61"/>
      <c r="K182" s="61"/>
      <c r="L182" s="64"/>
      <c r="M182" s="64"/>
      <c r="N182" s="64"/>
      <c r="O182" s="7"/>
      <c r="P182" s="63"/>
      <c r="Q182" s="8"/>
      <c r="R182" s="8"/>
      <c r="S182" s="7"/>
      <c r="T182" s="7"/>
      <c r="U182" s="7"/>
      <c r="V182" s="7"/>
      <c r="W182" s="7"/>
      <c r="X182" s="7"/>
      <c r="Y182" s="63"/>
      <c r="Z182" s="8"/>
      <c r="AA182" s="8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</row>
    <row r="183" spans="1:45">
      <c r="A183" s="60"/>
      <c r="B183" s="60"/>
      <c r="C183" s="61"/>
      <c r="D183" s="61"/>
      <c r="E183" s="61"/>
      <c r="F183" s="61"/>
      <c r="G183" s="62"/>
      <c r="H183" s="61"/>
      <c r="I183" s="61"/>
      <c r="J183" s="61"/>
      <c r="K183" s="61"/>
      <c r="L183" s="64"/>
      <c r="M183" s="64"/>
      <c r="N183" s="64"/>
      <c r="O183" s="7"/>
      <c r="P183" s="63"/>
      <c r="Q183" s="8"/>
      <c r="R183" s="8"/>
      <c r="S183" s="7"/>
      <c r="T183" s="7"/>
      <c r="U183" s="7"/>
      <c r="V183" s="7"/>
      <c r="W183" s="7"/>
      <c r="X183" s="7"/>
      <c r="Y183" s="63"/>
      <c r="Z183" s="8"/>
      <c r="AA183" s="8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</row>
    <row r="184" spans="1:45">
      <c r="A184" s="60"/>
      <c r="B184" s="60"/>
      <c r="C184" s="61"/>
      <c r="D184" s="61"/>
      <c r="E184" s="61"/>
      <c r="F184" s="61"/>
      <c r="G184" s="62"/>
      <c r="H184" s="61"/>
      <c r="I184" s="61"/>
      <c r="J184" s="61"/>
      <c r="K184" s="61"/>
      <c r="L184" s="64"/>
      <c r="M184" s="64"/>
      <c r="N184" s="64"/>
      <c r="O184" s="7"/>
      <c r="P184" s="63"/>
      <c r="Q184" s="8"/>
      <c r="R184" s="8"/>
      <c r="S184" s="7"/>
      <c r="T184" s="7"/>
      <c r="U184" s="64"/>
      <c r="V184" s="64"/>
      <c r="W184" s="64"/>
      <c r="X184" s="7"/>
      <c r="Y184" s="63"/>
      <c r="Z184" s="8"/>
      <c r="AA184" s="8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</row>
    <row r="185" spans="1:45" s="65" customFormat="1">
      <c r="A185" s="107" t="s">
        <v>35</v>
      </c>
      <c r="B185" s="107"/>
      <c r="C185" s="108" t="str">
        <f t="shared" ref="C185" si="128">+C55</f>
        <v/>
      </c>
      <c r="D185" s="108" t="str">
        <f>+D55</f>
        <v/>
      </c>
      <c r="E185" s="108" t="str">
        <f>+E55</f>
        <v/>
      </c>
      <c r="F185" s="108" t="str">
        <f>+F55</f>
        <v/>
      </c>
      <c r="G185" s="109" t="str">
        <f>+G55</f>
        <v/>
      </c>
      <c r="H185" s="108"/>
      <c r="I185" s="108"/>
      <c r="J185" s="108"/>
      <c r="K185" s="108"/>
      <c r="L185" s="64"/>
      <c r="M185" s="64"/>
      <c r="N185" s="64"/>
      <c r="P185" s="63"/>
      <c r="Q185" s="63"/>
      <c r="R185" s="63"/>
      <c r="U185" s="64"/>
      <c r="V185" s="64"/>
      <c r="W185" s="64"/>
      <c r="Y185" s="63"/>
      <c r="Z185" s="63"/>
      <c r="AA185" s="63"/>
    </row>
    <row r="186" spans="1:45" s="65" customFormat="1">
      <c r="A186" s="107" t="s">
        <v>4</v>
      </c>
      <c r="B186" s="110"/>
      <c r="C186" s="111">
        <v>200</v>
      </c>
      <c r="D186" s="111">
        <v>400</v>
      </c>
      <c r="E186" s="111">
        <v>600</v>
      </c>
      <c r="F186" s="111">
        <v>800</v>
      </c>
      <c r="G186" s="112">
        <v>1000</v>
      </c>
      <c r="H186" s="111">
        <v>1200</v>
      </c>
      <c r="I186" s="111">
        <v>1400</v>
      </c>
      <c r="J186" s="111">
        <v>1600</v>
      </c>
      <c r="K186" s="111">
        <v>1800</v>
      </c>
      <c r="L186" s="64"/>
      <c r="M186" s="64"/>
      <c r="N186" s="64"/>
      <c r="P186" s="63"/>
      <c r="Q186" s="63"/>
      <c r="R186" s="63"/>
      <c r="U186" s="64"/>
      <c r="V186" s="64"/>
      <c r="W186" s="64"/>
      <c r="Y186" s="63"/>
      <c r="Z186" s="63"/>
      <c r="AA186" s="63"/>
    </row>
    <row r="187" spans="1:45" s="65" customFormat="1">
      <c r="A187" s="107"/>
      <c r="B187" s="113"/>
      <c r="C187" s="111"/>
      <c r="D187" s="111"/>
      <c r="E187" s="111"/>
      <c r="F187" s="111"/>
      <c r="G187" s="112"/>
      <c r="H187" s="111"/>
      <c r="I187" s="111"/>
      <c r="J187" s="111"/>
      <c r="K187" s="111"/>
      <c r="L187" s="64"/>
      <c r="M187" s="64"/>
      <c r="N187" s="64"/>
      <c r="P187" s="63"/>
      <c r="Q187" s="63"/>
      <c r="R187" s="63"/>
      <c r="U187" s="64"/>
      <c r="V187" s="64"/>
      <c r="W187" s="64"/>
      <c r="Y187" s="63"/>
      <c r="Z187" s="63"/>
      <c r="AA187" s="63"/>
    </row>
    <row r="188" spans="1:45" s="65" customFormat="1">
      <c r="A188" s="107" t="str">
        <f t="shared" ref="A188:A194" si="129">+A58</f>
        <v>Pløying</v>
      </c>
      <c r="B188" s="110"/>
      <c r="C188" s="111">
        <f t="shared" ref="C188:K194" si="130">+C58</f>
        <v>36.239762267159527</v>
      </c>
      <c r="D188" s="111">
        <f t="shared" si="130"/>
        <v>72.479524534319054</v>
      </c>
      <c r="E188" s="111">
        <f t="shared" si="130"/>
        <v>101.75010175010175</v>
      </c>
      <c r="F188" s="111">
        <f t="shared" si="130"/>
        <v>135.66680233346898</v>
      </c>
      <c r="G188" s="112">
        <f t="shared" si="130"/>
        <v>169.58350291683624</v>
      </c>
      <c r="H188" s="111">
        <f t="shared" si="130"/>
        <v>198.41269841269838</v>
      </c>
      <c r="I188" s="111">
        <f t="shared" si="130"/>
        <v>231.4814814814815</v>
      </c>
      <c r="J188" s="111">
        <f t="shared" si="130"/>
        <v>264.55026455026456</v>
      </c>
      <c r="K188" s="111">
        <f t="shared" si="130"/>
        <v>297.61904761904765</v>
      </c>
      <c r="L188" s="64"/>
      <c r="M188" s="64"/>
      <c r="N188" s="64"/>
      <c r="P188" s="63"/>
      <c r="Q188" s="63"/>
      <c r="R188" s="63"/>
      <c r="U188" s="64"/>
      <c r="V188" s="64"/>
      <c r="W188" s="64"/>
      <c r="Y188" s="63"/>
      <c r="Z188" s="63"/>
      <c r="AA188" s="63"/>
    </row>
    <row r="189" spans="1:45" s="65" customFormat="1">
      <c r="A189" s="107" t="str">
        <f t="shared" si="129"/>
        <v>Slodding</v>
      </c>
      <c r="B189" s="110"/>
      <c r="C189" s="111">
        <f t="shared" si="130"/>
        <v>8.5526746939933194</v>
      </c>
      <c r="D189" s="111">
        <f t="shared" si="130"/>
        <v>17.105349387986639</v>
      </c>
      <c r="E189" s="111">
        <f t="shared" si="130"/>
        <v>24.860825988513056</v>
      </c>
      <c r="F189" s="111">
        <f t="shared" si="130"/>
        <v>33.14776798468408</v>
      </c>
      <c r="G189" s="112">
        <f t="shared" si="130"/>
        <v>41.434709980855096</v>
      </c>
      <c r="H189" s="111">
        <f t="shared" si="130"/>
        <v>49.061770301990528</v>
      </c>
      <c r="I189" s="111">
        <f t="shared" si="130"/>
        <v>57.238732018988941</v>
      </c>
      <c r="J189" s="111">
        <f t="shared" si="130"/>
        <v>65.415693735987375</v>
      </c>
      <c r="K189" s="111">
        <f t="shared" si="130"/>
        <v>73.592655452985795</v>
      </c>
      <c r="L189" s="64"/>
      <c r="M189" s="64"/>
      <c r="N189" s="64"/>
      <c r="P189" s="63"/>
      <c r="Q189" s="63"/>
      <c r="R189" s="63"/>
      <c r="U189" s="64"/>
      <c r="V189" s="64"/>
      <c r="W189" s="64"/>
      <c r="Y189" s="63"/>
      <c r="Z189" s="63"/>
      <c r="AA189" s="63"/>
    </row>
    <row r="190" spans="1:45" s="65" customFormat="1">
      <c r="A190" s="107" t="str">
        <f t="shared" si="129"/>
        <v>Harving</v>
      </c>
      <c r="B190" s="110"/>
      <c r="C190" s="111">
        <f t="shared" si="130"/>
        <v>7.0433791597592021</v>
      </c>
      <c r="D190" s="111">
        <f t="shared" si="130"/>
        <v>14.086758319518404</v>
      </c>
      <c r="E190" s="111">
        <f t="shared" si="130"/>
        <v>20.473621402304872</v>
      </c>
      <c r="F190" s="111">
        <f t="shared" si="130"/>
        <v>27.298161869739825</v>
      </c>
      <c r="G190" s="112">
        <f t="shared" si="130"/>
        <v>34.122702337174779</v>
      </c>
      <c r="H190" s="111">
        <f t="shared" si="130"/>
        <v>40.403810836933381</v>
      </c>
      <c r="I190" s="111">
        <f t="shared" si="130"/>
        <v>47.137779309755608</v>
      </c>
      <c r="J190" s="111">
        <f t="shared" si="130"/>
        <v>53.871747782577827</v>
      </c>
      <c r="K190" s="111">
        <f t="shared" si="130"/>
        <v>60.605716255400061</v>
      </c>
      <c r="L190" s="64"/>
      <c r="M190" s="64"/>
      <c r="N190" s="64"/>
      <c r="P190" s="63"/>
      <c r="Q190" s="63"/>
      <c r="R190" s="63"/>
      <c r="U190" s="64"/>
      <c r="V190" s="64"/>
      <c r="W190" s="64"/>
      <c r="Y190" s="63"/>
      <c r="Z190" s="63"/>
      <c r="AA190" s="63"/>
    </row>
    <row r="191" spans="1:45" s="65" customFormat="1">
      <c r="A191" s="107" t="str">
        <f t="shared" si="129"/>
        <v>Såing</v>
      </c>
      <c r="B191" s="110"/>
      <c r="C191" s="111">
        <f t="shared" si="130"/>
        <v>27.056057445421168</v>
      </c>
      <c r="D191" s="111">
        <f t="shared" si="130"/>
        <v>54.112114890842335</v>
      </c>
      <c r="E191" s="111">
        <f t="shared" si="130"/>
        <v>78.936566575100244</v>
      </c>
      <c r="F191" s="111">
        <f t="shared" si="130"/>
        <v>105.24875543346701</v>
      </c>
      <c r="G191" s="112">
        <f t="shared" si="130"/>
        <v>131.56094429183375</v>
      </c>
      <c r="H191" s="111">
        <f t="shared" si="130"/>
        <v>156.076852242044</v>
      </c>
      <c r="I191" s="111">
        <f t="shared" si="130"/>
        <v>182.08966094905134</v>
      </c>
      <c r="J191" s="111">
        <f t="shared" si="130"/>
        <v>208.10246965605867</v>
      </c>
      <c r="K191" s="111">
        <f t="shared" si="130"/>
        <v>234.11527836306598</v>
      </c>
      <c r="L191" s="64"/>
      <c r="M191" s="64"/>
      <c r="N191" s="64"/>
      <c r="P191" s="63"/>
      <c r="Q191" s="63"/>
      <c r="R191" s="63"/>
      <c r="U191" s="64"/>
      <c r="V191" s="64"/>
      <c r="W191" s="64"/>
      <c r="Y191" s="63"/>
      <c r="Z191" s="63"/>
      <c r="AA191" s="63"/>
    </row>
    <row r="192" spans="1:45" s="65" customFormat="1">
      <c r="A192" s="107" t="str">
        <f t="shared" si="129"/>
        <v>Tromling</v>
      </c>
      <c r="B192" s="110"/>
      <c r="C192" s="111">
        <f t="shared" si="130"/>
        <v>9.2836287848194097</v>
      </c>
      <c r="D192" s="111">
        <f t="shared" si="130"/>
        <v>18.567257569638819</v>
      </c>
      <c r="E192" s="111">
        <f t="shared" si="130"/>
        <v>27.120114989287551</v>
      </c>
      <c r="F192" s="111">
        <f t="shared" si="130"/>
        <v>36.160153319050067</v>
      </c>
      <c r="G192" s="112">
        <f t="shared" si="130"/>
        <v>45.200191648812577</v>
      </c>
      <c r="H192" s="111">
        <f t="shared" si="130"/>
        <v>53.625053625053624</v>
      </c>
      <c r="I192" s="111">
        <f t="shared" si="130"/>
        <v>62.562562562562569</v>
      </c>
      <c r="J192" s="111">
        <f t="shared" si="130"/>
        <v>71.500071500071513</v>
      </c>
      <c r="K192" s="111">
        <f t="shared" si="130"/>
        <v>80.437580437580436</v>
      </c>
      <c r="L192" s="64"/>
      <c r="M192" s="64"/>
      <c r="N192" s="64"/>
      <c r="P192" s="63"/>
      <c r="Q192" s="63"/>
      <c r="R192" s="63"/>
      <c r="U192" s="64"/>
      <c r="V192" s="64"/>
      <c r="W192" s="64"/>
      <c r="Y192" s="63"/>
      <c r="Z192" s="63"/>
      <c r="AA192" s="63"/>
    </row>
    <row r="193" spans="1:27" s="65" customFormat="1">
      <c r="A193" s="107" t="str">
        <f t="shared" si="129"/>
        <v>Annet kjøring for øvrig i året</v>
      </c>
      <c r="B193" s="110"/>
      <c r="C193" s="111">
        <f t="shared" si="130"/>
        <v>38.119881133579767</v>
      </c>
      <c r="D193" s="111">
        <f t="shared" si="130"/>
        <v>76.239762267159534</v>
      </c>
      <c r="E193" s="111">
        <f t="shared" si="130"/>
        <v>110.87505087505087</v>
      </c>
      <c r="F193" s="111">
        <f t="shared" si="130"/>
        <v>147.83340116673449</v>
      </c>
      <c r="G193" s="112">
        <f t="shared" si="130"/>
        <v>184.7917514584181</v>
      </c>
      <c r="H193" s="111">
        <f t="shared" si="130"/>
        <v>219.20634920634919</v>
      </c>
      <c r="I193" s="111">
        <f t="shared" si="130"/>
        <v>255.74074074074076</v>
      </c>
      <c r="J193" s="111">
        <f t="shared" si="130"/>
        <v>292.27513227513225</v>
      </c>
      <c r="K193" s="111">
        <f t="shared" si="130"/>
        <v>328.80952380952385</v>
      </c>
      <c r="L193" s="64"/>
      <c r="M193" s="64"/>
      <c r="N193" s="64"/>
      <c r="P193" s="63"/>
      <c r="Q193" s="63"/>
      <c r="R193" s="63"/>
      <c r="U193" s="64"/>
      <c r="V193" s="64"/>
      <c r="W193" s="64"/>
      <c r="Y193" s="63"/>
      <c r="Z193" s="63"/>
      <c r="AA193" s="63"/>
    </row>
    <row r="194" spans="1:27" s="65" customFormat="1">
      <c r="A194" s="107" t="str">
        <f t="shared" si="129"/>
        <v>Sum våronnkjøring inkludert 2 timer diverse per 100 dekar</v>
      </c>
      <c r="B194" s="110"/>
      <c r="C194" s="111">
        <f t="shared" si="130"/>
        <v>74.055621217572863</v>
      </c>
      <c r="D194" s="111">
        <f t="shared" si="130"/>
        <v>148.11124243514573</v>
      </c>
      <c r="E194" s="111">
        <f t="shared" si="130"/>
        <v>214.26617983025659</v>
      </c>
      <c r="F194" s="111">
        <f t="shared" si="130"/>
        <v>285.68823977367549</v>
      </c>
      <c r="G194" s="112">
        <f t="shared" si="130"/>
        <v>357.11029971709428</v>
      </c>
      <c r="H194" s="111">
        <f t="shared" si="130"/>
        <v>422.37383621237075</v>
      </c>
      <c r="I194" s="111">
        <f t="shared" si="130"/>
        <v>492.76947558109919</v>
      </c>
      <c r="J194" s="111">
        <f t="shared" si="130"/>
        <v>563.16511494982763</v>
      </c>
      <c r="K194" s="111">
        <f t="shared" si="130"/>
        <v>633.56075431855606</v>
      </c>
      <c r="L194" s="64"/>
      <c r="M194" s="64"/>
      <c r="N194" s="64"/>
      <c r="P194" s="63"/>
      <c r="Q194" s="63"/>
      <c r="R194" s="63"/>
      <c r="U194" s="64"/>
      <c r="V194" s="64"/>
      <c r="W194" s="64"/>
      <c r="Y194" s="63"/>
      <c r="Z194" s="63"/>
      <c r="AA194" s="63"/>
    </row>
    <row r="195" spans="1:27" s="65" customFormat="1">
      <c r="A195" s="107" t="s">
        <v>72</v>
      </c>
      <c r="B195" s="110"/>
      <c r="C195" s="111">
        <f t="shared" ref="C195:K195" si="131">+(C65+$D$20)/2</f>
        <v>124.20763230915608</v>
      </c>
      <c r="D195" s="111">
        <f t="shared" si="131"/>
        <v>198.41526461831216</v>
      </c>
      <c r="E195" s="111">
        <f t="shared" si="131"/>
        <v>263.44566622770458</v>
      </c>
      <c r="F195" s="111">
        <f t="shared" si="131"/>
        <v>334.59422163693944</v>
      </c>
      <c r="G195" s="112">
        <f t="shared" si="131"/>
        <v>405.7427770461743</v>
      </c>
      <c r="H195" s="111">
        <f t="shared" si="131"/>
        <v>469.99644191570917</v>
      </c>
      <c r="I195" s="111">
        <f t="shared" si="131"/>
        <v>539.99584890166079</v>
      </c>
      <c r="J195" s="111">
        <f t="shared" si="131"/>
        <v>609.99525588761219</v>
      </c>
      <c r="K195" s="111">
        <f t="shared" si="131"/>
        <v>679.99466287356381</v>
      </c>
      <c r="L195" s="64"/>
      <c r="M195" s="64"/>
      <c r="N195" s="64"/>
      <c r="P195" s="63"/>
      <c r="Q195" s="63"/>
      <c r="R195" s="63"/>
      <c r="U195" s="64"/>
      <c r="V195" s="64"/>
      <c r="W195" s="64"/>
      <c r="Y195" s="63"/>
      <c r="Z195" s="63"/>
      <c r="AA195" s="63"/>
    </row>
    <row r="196" spans="1:27" s="65" customFormat="1">
      <c r="A196" s="107" t="str">
        <f>+A66</f>
        <v>Dager våronn</v>
      </c>
      <c r="B196" s="110"/>
      <c r="C196" s="111">
        <f t="shared" ref="C196:K196" si="132">+C66/2</f>
        <v>4.628476326098304</v>
      </c>
      <c r="D196" s="111">
        <f t="shared" si="132"/>
        <v>9.2569526521966079</v>
      </c>
      <c r="E196" s="111">
        <f t="shared" si="132"/>
        <v>13.391636239391037</v>
      </c>
      <c r="F196" s="111">
        <f t="shared" si="132"/>
        <v>17.855514985854718</v>
      </c>
      <c r="G196" s="112">
        <f t="shared" si="132"/>
        <v>22.319393732318392</v>
      </c>
      <c r="H196" s="111">
        <f t="shared" si="132"/>
        <v>26.398364763273172</v>
      </c>
      <c r="I196" s="111">
        <f t="shared" si="132"/>
        <v>30.798092223818699</v>
      </c>
      <c r="J196" s="111">
        <f t="shared" si="132"/>
        <v>35.197819684364227</v>
      </c>
      <c r="K196" s="111">
        <f t="shared" si="132"/>
        <v>39.597547144909754</v>
      </c>
      <c r="L196" s="30"/>
      <c r="M196" s="30"/>
      <c r="N196" s="64"/>
      <c r="P196" s="63"/>
      <c r="Q196" s="63"/>
      <c r="R196" s="63"/>
      <c r="U196" s="64"/>
      <c r="V196" s="64"/>
      <c r="W196" s="64"/>
      <c r="Y196" s="63"/>
      <c r="Z196" s="63"/>
      <c r="AA196" s="63"/>
    </row>
    <row r="197" spans="1:27" s="65" customFormat="1">
      <c r="A197" s="107" t="str">
        <f>+A67</f>
        <v>Kapasitet daa per. Dag</v>
      </c>
      <c r="B197" s="110"/>
      <c r="C197" s="111">
        <f t="shared" ref="C197:K197" si="133">+C186/C196</f>
        <v>43.210764387466419</v>
      </c>
      <c r="D197" s="111">
        <f t="shared" si="133"/>
        <v>43.210764387466419</v>
      </c>
      <c r="E197" s="111">
        <f t="shared" si="133"/>
        <v>44.804084375822626</v>
      </c>
      <c r="F197" s="111">
        <f t="shared" si="133"/>
        <v>44.804084375822619</v>
      </c>
      <c r="G197" s="112">
        <f t="shared" si="133"/>
        <v>44.804084375822626</v>
      </c>
      <c r="H197" s="111">
        <f t="shared" si="133"/>
        <v>45.457361119182075</v>
      </c>
      <c r="I197" s="111">
        <f t="shared" si="133"/>
        <v>45.457361119182075</v>
      </c>
      <c r="J197" s="111">
        <f t="shared" si="133"/>
        <v>45.457361119182082</v>
      </c>
      <c r="K197" s="111">
        <f t="shared" si="133"/>
        <v>45.457361119182082</v>
      </c>
      <c r="L197" s="30"/>
      <c r="M197" s="30"/>
      <c r="N197" s="64"/>
      <c r="P197" s="63"/>
      <c r="Q197" s="63"/>
      <c r="R197" s="63"/>
      <c r="U197" s="64"/>
      <c r="V197" s="64"/>
      <c r="W197" s="64"/>
      <c r="Y197" s="63"/>
      <c r="Z197" s="63"/>
      <c r="AA197" s="63"/>
    </row>
    <row r="198" spans="1:27" s="65" customFormat="1">
      <c r="A198" s="107" t="str">
        <f>+A68</f>
        <v>Levetid traktor</v>
      </c>
      <c r="B198" s="110"/>
      <c r="C198" s="111">
        <f t="shared" ref="C198:K198" si="134">IF(6000/C195&gt;12,12,6000/C195)</f>
        <v>12</v>
      </c>
      <c r="D198" s="111">
        <f t="shared" si="134"/>
        <v>12</v>
      </c>
      <c r="E198" s="111">
        <f t="shared" si="134"/>
        <v>12</v>
      </c>
      <c r="F198" s="111">
        <f t="shared" si="134"/>
        <v>12</v>
      </c>
      <c r="G198" s="112">
        <f t="shared" si="134"/>
        <v>12</v>
      </c>
      <c r="H198" s="111">
        <f t="shared" si="134"/>
        <v>12</v>
      </c>
      <c r="I198" s="111">
        <f t="shared" si="134"/>
        <v>11.111196525313783</v>
      </c>
      <c r="J198" s="111">
        <f t="shared" si="134"/>
        <v>9.8361420717433621</v>
      </c>
      <c r="K198" s="111">
        <f t="shared" si="134"/>
        <v>8.823598665678972</v>
      </c>
      <c r="L198" s="64"/>
      <c r="M198" s="64"/>
      <c r="N198" s="64"/>
      <c r="P198" s="63"/>
      <c r="Q198" s="63"/>
      <c r="R198" s="63"/>
      <c r="U198" s="30"/>
      <c r="V198" s="30"/>
      <c r="W198" s="64"/>
      <c r="Y198" s="63"/>
      <c r="Z198" s="63"/>
      <c r="AA198" s="63"/>
    </row>
    <row r="199" spans="1:27" s="65" customFormat="1">
      <c r="A199" s="107" t="s">
        <v>74</v>
      </c>
      <c r="B199" s="114"/>
      <c r="C199" s="111">
        <f t="shared" ref="C199:K200" si="135">+C69</f>
        <v>17.635100470230526</v>
      </c>
      <c r="D199" s="111">
        <f t="shared" si="135"/>
        <v>35.270200940461052</v>
      </c>
      <c r="E199" s="111">
        <f t="shared" si="135"/>
        <v>50.628246141061496</v>
      </c>
      <c r="F199" s="111">
        <f t="shared" si="135"/>
        <v>67.504328188081985</v>
      </c>
      <c r="G199" s="112">
        <f t="shared" si="135"/>
        <v>84.380410235102488</v>
      </c>
      <c r="H199" s="111">
        <f t="shared" si="135"/>
        <v>99.516037083743981</v>
      </c>
      <c r="I199" s="111">
        <f t="shared" si="135"/>
        <v>116.10204326436799</v>
      </c>
      <c r="J199" s="111">
        <f t="shared" si="135"/>
        <v>132.68804944499198</v>
      </c>
      <c r="K199" s="111">
        <f t="shared" si="135"/>
        <v>149.27405562561597</v>
      </c>
      <c r="L199" s="68"/>
      <c r="M199" s="68"/>
      <c r="N199" s="68"/>
      <c r="P199" s="63"/>
      <c r="Q199" s="63"/>
      <c r="R199" s="63"/>
      <c r="U199" s="30"/>
      <c r="V199" s="30"/>
      <c r="W199" s="64"/>
      <c r="Y199" s="63"/>
      <c r="Z199" s="63"/>
      <c r="AA199" s="63"/>
    </row>
    <row r="200" spans="1:27" s="65" customFormat="1">
      <c r="A200" s="107" t="str">
        <f>+A70</f>
        <v>Levetid redskaper</v>
      </c>
      <c r="B200" s="110"/>
      <c r="C200" s="111">
        <f t="shared" si="135"/>
        <v>15</v>
      </c>
      <c r="D200" s="111">
        <f t="shared" si="135"/>
        <v>15</v>
      </c>
      <c r="E200" s="111">
        <f t="shared" si="135"/>
        <v>15</v>
      </c>
      <c r="F200" s="111">
        <f t="shared" si="135"/>
        <v>15</v>
      </c>
      <c r="G200" s="112">
        <f t="shared" si="135"/>
        <v>15</v>
      </c>
      <c r="H200" s="111">
        <f t="shared" si="135"/>
        <v>15</v>
      </c>
      <c r="I200" s="111">
        <f t="shared" si="135"/>
        <v>15</v>
      </c>
      <c r="J200" s="111">
        <f t="shared" si="135"/>
        <v>15</v>
      </c>
      <c r="K200" s="111">
        <f t="shared" si="135"/>
        <v>15</v>
      </c>
      <c r="L200" s="75"/>
      <c r="M200" s="75"/>
      <c r="N200" s="76"/>
      <c r="P200" s="63"/>
      <c r="Q200" s="63"/>
      <c r="R200" s="63"/>
      <c r="U200" s="64"/>
      <c r="V200" s="64"/>
      <c r="W200" s="64"/>
      <c r="Y200" s="63"/>
      <c r="Z200" s="63"/>
      <c r="AA200" s="63"/>
    </row>
    <row r="201" spans="1:27" s="69" customFormat="1">
      <c r="A201" s="107" t="s">
        <v>43</v>
      </c>
      <c r="B201" s="115"/>
      <c r="C201" s="116">
        <f t="shared" ref="C201:K201" si="136">100-($N$7+$N$8*$D$22+$N$9*C197+$N$10*C186+$N$11*$D$22*C186+$N$12*C197^2+$N$13*C197*C186+$N$14*C186^2+$N$15*$D$22*C197*C186)</f>
        <v>13.609228100863803</v>
      </c>
      <c r="D201" s="116">
        <f t="shared" si="136"/>
        <v>16.190368850892213</v>
      </c>
      <c r="E201" s="116">
        <f t="shared" si="136"/>
        <v>18.599050513082204</v>
      </c>
      <c r="F201" s="116">
        <f t="shared" si="136"/>
        <v>21.295896967434359</v>
      </c>
      <c r="G201" s="116">
        <f t="shared" si="136"/>
        <v>24.07274342178647</v>
      </c>
      <c r="H201" s="116">
        <f t="shared" si="136"/>
        <v>26.773132535069152</v>
      </c>
      <c r="I201" s="116">
        <f t="shared" si="136"/>
        <v>29.691817895955879</v>
      </c>
      <c r="J201" s="116">
        <f t="shared" si="136"/>
        <v>32.690503256842618</v>
      </c>
      <c r="K201" s="116">
        <f t="shared" si="136"/>
        <v>35.769188617729355</v>
      </c>
      <c r="L201" s="64"/>
      <c r="M201" s="64"/>
      <c r="N201" s="64"/>
      <c r="P201" s="70"/>
      <c r="Q201" s="70"/>
      <c r="R201" s="70"/>
      <c r="U201" s="68"/>
      <c r="V201" s="68"/>
      <c r="W201" s="68"/>
      <c r="Y201" s="70"/>
      <c r="Z201" s="70"/>
      <c r="AA201" s="70"/>
    </row>
    <row r="202" spans="1:27" s="77" customFormat="1" ht="14.4" customHeight="1">
      <c r="A202" s="117"/>
      <c r="B202" s="117"/>
      <c r="C202" s="118"/>
      <c r="D202" s="118"/>
      <c r="E202" s="118"/>
      <c r="F202" s="118"/>
      <c r="G202" s="118"/>
      <c r="H202" s="118"/>
      <c r="I202" s="118"/>
      <c r="J202" s="118"/>
      <c r="K202" s="118"/>
      <c r="L202" s="64"/>
      <c r="M202" s="64"/>
      <c r="N202" s="64"/>
      <c r="P202" s="78"/>
      <c r="U202" s="75"/>
      <c r="V202" s="75"/>
      <c r="W202" s="76"/>
      <c r="Y202" s="78"/>
    </row>
    <row r="203" spans="1:27" s="65" customFormat="1">
      <c r="A203" s="107"/>
      <c r="B203" s="114"/>
      <c r="C203" s="111"/>
      <c r="D203" s="111"/>
      <c r="E203" s="111"/>
      <c r="F203" s="111"/>
      <c r="G203" s="112"/>
      <c r="H203" s="111"/>
      <c r="I203" s="111"/>
      <c r="J203" s="111"/>
      <c r="K203" s="111"/>
      <c r="L203" s="64"/>
      <c r="M203" s="64"/>
      <c r="N203" s="64"/>
      <c r="P203" s="63"/>
      <c r="Q203" s="63"/>
      <c r="R203" s="63"/>
      <c r="U203" s="64"/>
      <c r="V203" s="64"/>
      <c r="W203" s="64"/>
      <c r="Y203" s="63"/>
      <c r="Z203" s="63"/>
      <c r="AA203" s="63"/>
    </row>
    <row r="204" spans="1:27" s="65" customFormat="1">
      <c r="A204" s="107"/>
      <c r="B204" s="114"/>
      <c r="C204" s="111"/>
      <c r="D204" s="111"/>
      <c r="E204" s="111"/>
      <c r="F204" s="111"/>
      <c r="G204" s="112"/>
      <c r="H204" s="111"/>
      <c r="I204" s="111"/>
      <c r="J204" s="111"/>
      <c r="K204" s="111"/>
      <c r="L204" s="64"/>
      <c r="M204" s="64"/>
      <c r="N204" s="64"/>
      <c r="P204" s="63"/>
      <c r="Q204" s="63"/>
      <c r="R204" s="63"/>
      <c r="U204" s="64"/>
      <c r="V204" s="64"/>
      <c r="W204" s="64"/>
      <c r="Y204" s="63"/>
      <c r="Z204" s="63"/>
      <c r="AA204" s="63"/>
    </row>
    <row r="205" spans="1:27" s="65" customFormat="1">
      <c r="A205" s="107" t="s">
        <v>36</v>
      </c>
      <c r="B205" s="114"/>
      <c r="C205" s="111" t="str">
        <f t="shared" ref="C205:G205" si="137">+C75</f>
        <v/>
      </c>
      <c r="D205" s="111" t="str">
        <f t="shared" si="137"/>
        <v/>
      </c>
      <c r="E205" s="111" t="str">
        <f t="shared" si="137"/>
        <v/>
      </c>
      <c r="F205" s="111" t="str">
        <f t="shared" si="137"/>
        <v/>
      </c>
      <c r="G205" s="112" t="str">
        <f t="shared" si="137"/>
        <v/>
      </c>
      <c r="H205" s="111"/>
      <c r="I205" s="111"/>
      <c r="J205" s="111"/>
      <c r="K205" s="111"/>
      <c r="L205" s="64"/>
      <c r="M205" s="64"/>
      <c r="N205" s="64"/>
      <c r="P205" s="63"/>
      <c r="Q205" s="63"/>
      <c r="R205" s="63"/>
      <c r="U205" s="64"/>
      <c r="V205" s="64"/>
      <c r="W205" s="64"/>
      <c r="Y205" s="63"/>
      <c r="Z205" s="63"/>
      <c r="AA205" s="63"/>
    </row>
    <row r="206" spans="1:27" s="65" customFormat="1">
      <c r="A206" s="107" t="str">
        <f>+A186</f>
        <v>Areal</v>
      </c>
      <c r="B206" s="110"/>
      <c r="C206" s="111">
        <v>200</v>
      </c>
      <c r="D206" s="111">
        <v>400</v>
      </c>
      <c r="E206" s="111">
        <v>600</v>
      </c>
      <c r="F206" s="111">
        <v>800</v>
      </c>
      <c r="G206" s="112">
        <v>1000</v>
      </c>
      <c r="H206" s="111">
        <v>1200</v>
      </c>
      <c r="I206" s="111">
        <v>1400</v>
      </c>
      <c r="J206" s="111">
        <v>1600</v>
      </c>
      <c r="K206" s="111">
        <v>1800</v>
      </c>
      <c r="L206" s="64"/>
      <c r="M206" s="64"/>
      <c r="N206" s="64"/>
      <c r="P206" s="63"/>
      <c r="Q206" s="63"/>
      <c r="R206" s="63"/>
      <c r="U206" s="64"/>
      <c r="V206" s="64"/>
      <c r="W206" s="64"/>
      <c r="Y206" s="63"/>
      <c r="Z206" s="63"/>
      <c r="AA206" s="63"/>
    </row>
    <row r="207" spans="1:27" s="65" customFormat="1">
      <c r="A207" s="107">
        <f t="shared" ref="A207:A221" si="138">+A187</f>
        <v>0</v>
      </c>
      <c r="B207" s="110"/>
      <c r="C207" s="111"/>
      <c r="D207" s="111"/>
      <c r="E207" s="111"/>
      <c r="F207" s="111"/>
      <c r="G207" s="112"/>
      <c r="H207" s="111"/>
      <c r="I207" s="111"/>
      <c r="J207" s="111"/>
      <c r="K207" s="111"/>
      <c r="L207" s="64"/>
      <c r="M207" s="64"/>
      <c r="N207" s="64"/>
      <c r="P207" s="63"/>
      <c r="Q207" s="63"/>
      <c r="R207" s="63"/>
      <c r="U207" s="64"/>
      <c r="V207" s="64"/>
      <c r="W207" s="64"/>
      <c r="Y207" s="63"/>
      <c r="Z207" s="63"/>
      <c r="AA207" s="63"/>
    </row>
    <row r="208" spans="1:27" s="65" customFormat="1">
      <c r="A208" s="107" t="str">
        <f t="shared" si="138"/>
        <v>Pløying</v>
      </c>
      <c r="B208" s="110"/>
      <c r="C208" s="111">
        <f t="shared" ref="C208:K214" si="139">+C78</f>
        <v>18.119881133579764</v>
      </c>
      <c r="D208" s="111">
        <f t="shared" si="139"/>
        <v>36.239762267159527</v>
      </c>
      <c r="E208" s="111">
        <f t="shared" si="139"/>
        <v>50.875050875050874</v>
      </c>
      <c r="F208" s="111">
        <f t="shared" si="139"/>
        <v>67.83340116673449</v>
      </c>
      <c r="G208" s="112">
        <f t="shared" si="139"/>
        <v>84.791751458418119</v>
      </c>
      <c r="H208" s="111">
        <f t="shared" si="139"/>
        <v>99.206349206349188</v>
      </c>
      <c r="I208" s="111">
        <f t="shared" si="139"/>
        <v>115.74074074074075</v>
      </c>
      <c r="J208" s="111">
        <f t="shared" si="139"/>
        <v>132.27513227513228</v>
      </c>
      <c r="K208" s="111">
        <f t="shared" si="139"/>
        <v>148.80952380952382</v>
      </c>
      <c r="L208" s="64"/>
      <c r="M208" s="64"/>
      <c r="N208" s="64"/>
      <c r="P208" s="63"/>
      <c r="Q208" s="63"/>
      <c r="R208" s="63"/>
      <c r="U208" s="64"/>
      <c r="V208" s="64"/>
      <c r="W208" s="64"/>
      <c r="Y208" s="63"/>
      <c r="Z208" s="63"/>
      <c r="AA208" s="63"/>
    </row>
    <row r="209" spans="1:27" s="65" customFormat="1">
      <c r="A209" s="107" t="str">
        <f t="shared" si="138"/>
        <v>Slodding</v>
      </c>
      <c r="B209" s="110"/>
      <c r="C209" s="111">
        <f t="shared" si="139"/>
        <v>4.8887100794290257</v>
      </c>
      <c r="D209" s="111">
        <f t="shared" si="139"/>
        <v>9.7774201588580514</v>
      </c>
      <c r="E209" s="111">
        <f t="shared" si="139"/>
        <v>14.033495877702686</v>
      </c>
      <c r="F209" s="111">
        <f t="shared" si="139"/>
        <v>18.71132783693692</v>
      </c>
      <c r="G209" s="112">
        <f t="shared" si="139"/>
        <v>23.389159796171143</v>
      </c>
      <c r="H209" s="111">
        <f t="shared" si="139"/>
        <v>27.550351918552781</v>
      </c>
      <c r="I209" s="111">
        <f t="shared" si="139"/>
        <v>32.142077238311579</v>
      </c>
      <c r="J209" s="111">
        <f t="shared" si="139"/>
        <v>36.733802558070387</v>
      </c>
      <c r="K209" s="111">
        <f t="shared" si="139"/>
        <v>41.325527877829188</v>
      </c>
      <c r="L209" s="64"/>
      <c r="M209" s="64"/>
      <c r="N209" s="64"/>
      <c r="P209" s="63"/>
      <c r="Q209" s="63"/>
      <c r="R209" s="63"/>
      <c r="U209" s="64"/>
      <c r="V209" s="64"/>
      <c r="W209" s="64"/>
      <c r="Y209" s="63"/>
      <c r="Z209" s="63"/>
      <c r="AA209" s="63"/>
    </row>
    <row r="210" spans="1:27" s="65" customFormat="1">
      <c r="A210" s="107" t="str">
        <f t="shared" si="138"/>
        <v>Harving</v>
      </c>
      <c r="B210" s="110"/>
      <c r="C210" s="111">
        <f t="shared" si="139"/>
        <v>4.6534104961861811</v>
      </c>
      <c r="D210" s="111">
        <f t="shared" si="139"/>
        <v>9.3068209923723622</v>
      </c>
      <c r="E210" s="111">
        <f t="shared" si="139"/>
        <v>13.413721767888289</v>
      </c>
      <c r="F210" s="111">
        <f t="shared" si="139"/>
        <v>17.884962357184381</v>
      </c>
      <c r="G210" s="112">
        <f t="shared" si="139"/>
        <v>22.356202946480479</v>
      </c>
      <c r="H210" s="111">
        <f t="shared" si="139"/>
        <v>26.379003632059064</v>
      </c>
      <c r="I210" s="111">
        <f t="shared" si="139"/>
        <v>30.775504237402242</v>
      </c>
      <c r="J210" s="111">
        <f t="shared" si="139"/>
        <v>35.172004842745416</v>
      </c>
      <c r="K210" s="111">
        <f t="shared" si="139"/>
        <v>39.568505448088594</v>
      </c>
      <c r="L210" s="64"/>
      <c r="M210" s="64"/>
      <c r="N210" s="64"/>
      <c r="P210" s="63"/>
      <c r="Q210" s="63"/>
      <c r="R210" s="63"/>
      <c r="U210" s="64"/>
      <c r="V210" s="64"/>
      <c r="W210" s="64"/>
      <c r="Y210" s="63"/>
      <c r="Z210" s="63"/>
      <c r="AA210" s="63"/>
    </row>
    <row r="211" spans="1:27" s="65" customFormat="1">
      <c r="A211" s="107" t="str">
        <f t="shared" si="138"/>
        <v>Såing</v>
      </c>
      <c r="B211" s="110"/>
      <c r="C211" s="111">
        <f t="shared" si="139"/>
        <v>17.526517621160817</v>
      </c>
      <c r="D211" s="111">
        <f t="shared" si="139"/>
        <v>35.053035242321634</v>
      </c>
      <c r="E211" s="111">
        <f t="shared" si="139"/>
        <v>50.763482781026639</v>
      </c>
      <c r="F211" s="111">
        <f t="shared" si="139"/>
        <v>67.684643708035523</v>
      </c>
      <c r="G211" s="112">
        <f t="shared" si="139"/>
        <v>84.605804635044393</v>
      </c>
      <c r="H211" s="111">
        <f t="shared" si="139"/>
        <v>100.04602116973808</v>
      </c>
      <c r="I211" s="111">
        <f t="shared" si="139"/>
        <v>116.72035803136112</v>
      </c>
      <c r="J211" s="111">
        <f t="shared" si="139"/>
        <v>133.39469489298415</v>
      </c>
      <c r="K211" s="111">
        <f t="shared" si="139"/>
        <v>150.06903175460712</v>
      </c>
      <c r="L211" s="64"/>
      <c r="M211" s="64"/>
      <c r="N211" s="64"/>
      <c r="P211" s="63"/>
      <c r="Q211" s="63"/>
      <c r="R211" s="63"/>
      <c r="U211" s="64"/>
      <c r="V211" s="64"/>
      <c r="W211" s="64"/>
      <c r="Y211" s="63"/>
      <c r="Z211" s="63"/>
      <c r="AA211" s="63"/>
    </row>
    <row r="212" spans="1:27" s="65" customFormat="1">
      <c r="A212" s="107" t="str">
        <f t="shared" si="138"/>
        <v>Tromling</v>
      </c>
      <c r="B212" s="110"/>
      <c r="C212" s="111">
        <f t="shared" si="139"/>
        <v>5.4269106388613482</v>
      </c>
      <c r="D212" s="111">
        <f t="shared" si="139"/>
        <v>10.853821277722696</v>
      </c>
      <c r="E212" s="111">
        <f t="shared" si="139"/>
        <v>15.599796578652612</v>
      </c>
      <c r="F212" s="111">
        <f t="shared" si="139"/>
        <v>20.79972877153682</v>
      </c>
      <c r="G212" s="112">
        <f t="shared" si="139"/>
        <v>25.999660964421022</v>
      </c>
      <c r="H212" s="111">
        <f t="shared" si="139"/>
        <v>30.634439236589774</v>
      </c>
      <c r="I212" s="111">
        <f t="shared" si="139"/>
        <v>35.740179109354742</v>
      </c>
      <c r="J212" s="111">
        <f t="shared" si="139"/>
        <v>40.845918982119706</v>
      </c>
      <c r="K212" s="111">
        <f t="shared" si="139"/>
        <v>45.951658854884663</v>
      </c>
      <c r="L212" s="64"/>
      <c r="M212" s="64"/>
      <c r="N212" s="64"/>
      <c r="P212" s="63"/>
      <c r="Q212" s="63"/>
      <c r="R212" s="63"/>
      <c r="U212" s="64"/>
      <c r="V212" s="64"/>
      <c r="W212" s="64"/>
      <c r="Y212" s="63"/>
      <c r="Z212" s="63"/>
      <c r="AA212" s="63"/>
    </row>
    <row r="213" spans="1:27" s="65" customFormat="1">
      <c r="A213" s="107" t="str">
        <f t="shared" si="138"/>
        <v>Annet kjøring for øvrig i året</v>
      </c>
      <c r="B213" s="110"/>
      <c r="C213" s="111">
        <f t="shared" si="139"/>
        <v>29.059940566789884</v>
      </c>
      <c r="D213" s="111">
        <f t="shared" si="139"/>
        <v>58.119881133579767</v>
      </c>
      <c r="E213" s="111">
        <f t="shared" si="139"/>
        <v>85.437525437525437</v>
      </c>
      <c r="F213" s="111">
        <f t="shared" si="139"/>
        <v>113.91670058336724</v>
      </c>
      <c r="G213" s="112">
        <f t="shared" si="139"/>
        <v>142.39587572920905</v>
      </c>
      <c r="H213" s="111">
        <f t="shared" si="139"/>
        <v>169.60317460317458</v>
      </c>
      <c r="I213" s="111">
        <f t="shared" si="139"/>
        <v>197.87037037037038</v>
      </c>
      <c r="J213" s="111">
        <f t="shared" si="139"/>
        <v>226.13756613756613</v>
      </c>
      <c r="K213" s="111">
        <f t="shared" si="139"/>
        <v>254.40476190476193</v>
      </c>
      <c r="L213" s="64"/>
      <c r="M213" s="64"/>
      <c r="N213" s="64"/>
      <c r="P213" s="63"/>
      <c r="Q213" s="63"/>
      <c r="R213" s="63"/>
      <c r="U213" s="64"/>
      <c r="V213" s="64"/>
      <c r="W213" s="64"/>
      <c r="Y213" s="63"/>
      <c r="Z213" s="63"/>
      <c r="AA213" s="63"/>
    </row>
    <row r="214" spans="1:27" s="65" customFormat="1">
      <c r="A214" s="107" t="str">
        <f t="shared" si="138"/>
        <v>Sum våronnkjøring inkludert 2 timer diverse per 100 dekar</v>
      </c>
      <c r="B214" s="110"/>
      <c r="C214" s="111">
        <f t="shared" si="139"/>
        <v>45.555489402427256</v>
      </c>
      <c r="D214" s="111">
        <f t="shared" si="139"/>
        <v>91.110978804854511</v>
      </c>
      <c r="E214" s="111">
        <f t="shared" si="139"/>
        <v>131.24802244279567</v>
      </c>
      <c r="F214" s="111">
        <f t="shared" si="139"/>
        <v>174.9973632570609</v>
      </c>
      <c r="G214" s="112">
        <f t="shared" si="139"/>
        <v>218.74670407132609</v>
      </c>
      <c r="H214" s="111">
        <f t="shared" si="139"/>
        <v>258.21299056011429</v>
      </c>
      <c r="I214" s="111">
        <f t="shared" si="139"/>
        <v>301.24848898680006</v>
      </c>
      <c r="J214" s="111">
        <f t="shared" si="139"/>
        <v>344.28398741348582</v>
      </c>
      <c r="K214" s="111">
        <f t="shared" si="139"/>
        <v>387.31948584017147</v>
      </c>
      <c r="L214" s="64"/>
      <c r="M214" s="64"/>
      <c r="N214" s="64"/>
      <c r="P214" s="63"/>
      <c r="Q214" s="63"/>
      <c r="R214" s="63"/>
      <c r="U214" s="64"/>
      <c r="V214" s="64"/>
      <c r="W214" s="64"/>
      <c r="Y214" s="63"/>
      <c r="Z214" s="63"/>
      <c r="AA214" s="63"/>
    </row>
    <row r="215" spans="1:27" s="65" customFormat="1">
      <c r="A215" s="107" t="str">
        <f t="shared" si="138"/>
        <v>Per traktor i året</v>
      </c>
      <c r="B215" s="110"/>
      <c r="C215" s="111">
        <f t="shared" ref="C215:K215" si="140">+(C85+$D$20)/2</f>
        <v>96.367655551398457</v>
      </c>
      <c r="D215" s="111">
        <f t="shared" si="140"/>
        <v>142.73531110279691</v>
      </c>
      <c r="E215" s="111">
        <f t="shared" si="140"/>
        <v>183.78029937768599</v>
      </c>
      <c r="F215" s="111">
        <f t="shared" si="140"/>
        <v>228.37373250358132</v>
      </c>
      <c r="G215" s="112">
        <f t="shared" si="140"/>
        <v>272.96716562947665</v>
      </c>
      <c r="H215" s="111">
        <f t="shared" si="140"/>
        <v>313.51125718481904</v>
      </c>
      <c r="I215" s="111">
        <f t="shared" si="140"/>
        <v>357.4298000489556</v>
      </c>
      <c r="J215" s="111">
        <f t="shared" si="140"/>
        <v>401.3483429130921</v>
      </c>
      <c r="K215" s="111">
        <f t="shared" si="140"/>
        <v>445.26688577722859</v>
      </c>
      <c r="L215" s="64"/>
      <c r="M215" s="64"/>
      <c r="N215" s="64"/>
      <c r="P215" s="63"/>
      <c r="Q215" s="63"/>
      <c r="R215" s="63"/>
      <c r="U215" s="64"/>
      <c r="V215" s="64"/>
      <c r="W215" s="64"/>
      <c r="Y215" s="63"/>
      <c r="Z215" s="63"/>
      <c r="AA215" s="63"/>
    </row>
    <row r="216" spans="1:27" s="65" customFormat="1">
      <c r="A216" s="107" t="str">
        <f t="shared" si="138"/>
        <v>Dager våronn</v>
      </c>
      <c r="B216" s="110"/>
      <c r="C216" s="111">
        <f t="shared" ref="C216:K216" si="141">+C86/2</f>
        <v>2.8472180876517035</v>
      </c>
      <c r="D216" s="111">
        <f t="shared" si="141"/>
        <v>5.694436175303407</v>
      </c>
      <c r="E216" s="111">
        <f t="shared" si="141"/>
        <v>8.2030014026747295</v>
      </c>
      <c r="F216" s="111">
        <f t="shared" si="141"/>
        <v>10.937335203566306</v>
      </c>
      <c r="G216" s="112">
        <f t="shared" si="141"/>
        <v>13.671669004457881</v>
      </c>
      <c r="H216" s="111">
        <f t="shared" si="141"/>
        <v>16.138311910007143</v>
      </c>
      <c r="I216" s="111">
        <f t="shared" si="141"/>
        <v>18.828030561675003</v>
      </c>
      <c r="J216" s="111">
        <f t="shared" si="141"/>
        <v>21.517749213342864</v>
      </c>
      <c r="K216" s="111">
        <f t="shared" si="141"/>
        <v>24.207467865010717</v>
      </c>
      <c r="L216" s="30"/>
      <c r="M216" s="30"/>
      <c r="N216" s="64"/>
      <c r="P216" s="63"/>
      <c r="Q216" s="63"/>
      <c r="R216" s="63"/>
      <c r="U216" s="64"/>
      <c r="V216" s="64"/>
      <c r="W216" s="64"/>
      <c r="Y216" s="63"/>
      <c r="Z216" s="63"/>
      <c r="AA216" s="63"/>
    </row>
    <row r="217" spans="1:27" s="65" customFormat="1">
      <c r="A217" s="107" t="str">
        <f t="shared" si="138"/>
        <v>Kapasitet daa per. Dag</v>
      </c>
      <c r="B217" s="110"/>
      <c r="C217" s="111">
        <f t="shared" ref="C217:K217" si="142">+C206/C216</f>
        <v>70.244004443282307</v>
      </c>
      <c r="D217" s="111">
        <f t="shared" si="142"/>
        <v>70.244004443282307</v>
      </c>
      <c r="E217" s="111">
        <f t="shared" si="142"/>
        <v>73.143959210388488</v>
      </c>
      <c r="F217" s="111">
        <f t="shared" si="142"/>
        <v>73.143959210388488</v>
      </c>
      <c r="G217" s="112">
        <f t="shared" si="142"/>
        <v>73.143959210388502</v>
      </c>
      <c r="H217" s="111">
        <f t="shared" si="142"/>
        <v>74.357219434821843</v>
      </c>
      <c r="I217" s="111">
        <f t="shared" si="142"/>
        <v>74.357219434821829</v>
      </c>
      <c r="J217" s="111">
        <f t="shared" si="142"/>
        <v>74.357219434821829</v>
      </c>
      <c r="K217" s="111">
        <f t="shared" si="142"/>
        <v>74.357219434821843</v>
      </c>
      <c r="L217" s="30"/>
      <c r="M217" s="30"/>
      <c r="N217" s="64"/>
      <c r="P217" s="63"/>
      <c r="Q217" s="63"/>
      <c r="R217" s="63"/>
      <c r="U217" s="64"/>
      <c r="V217" s="64"/>
      <c r="W217" s="64"/>
      <c r="Y217" s="63"/>
      <c r="Z217" s="63"/>
      <c r="AA217" s="63"/>
    </row>
    <row r="218" spans="1:27" s="65" customFormat="1">
      <c r="A218" s="107" t="str">
        <f t="shared" si="138"/>
        <v>Levetid traktor</v>
      </c>
      <c r="B218" s="110"/>
      <c r="C218" s="111">
        <f t="shared" ref="C218:K218" si="143">IF(6000/C215&gt;12,12,6000/C215)</f>
        <v>12</v>
      </c>
      <c r="D218" s="111">
        <f t="shared" si="143"/>
        <v>12</v>
      </c>
      <c r="E218" s="111">
        <f t="shared" si="143"/>
        <v>12</v>
      </c>
      <c r="F218" s="111">
        <f t="shared" si="143"/>
        <v>12</v>
      </c>
      <c r="G218" s="112">
        <f t="shared" si="143"/>
        <v>12</v>
      </c>
      <c r="H218" s="111">
        <f t="shared" si="143"/>
        <v>12</v>
      </c>
      <c r="I218" s="111">
        <f t="shared" si="143"/>
        <v>12</v>
      </c>
      <c r="J218" s="111">
        <f t="shared" si="143"/>
        <v>12</v>
      </c>
      <c r="K218" s="111">
        <f t="shared" si="143"/>
        <v>12</v>
      </c>
      <c r="L218" s="64"/>
      <c r="M218" s="64"/>
      <c r="N218" s="64"/>
      <c r="P218" s="63"/>
      <c r="Q218" s="63"/>
      <c r="R218" s="63"/>
      <c r="U218" s="30"/>
      <c r="V218" s="30"/>
      <c r="W218" s="64"/>
      <c r="Y218" s="63"/>
      <c r="Z218" s="63"/>
      <c r="AA218" s="63"/>
    </row>
    <row r="219" spans="1:27" s="65" customFormat="1">
      <c r="A219" s="107" t="str">
        <f t="shared" si="138"/>
        <v>Brukstimer per år for redskapene i gjennomsnitt</v>
      </c>
      <c r="B219" s="110"/>
      <c r="C219" s="111">
        <f t="shared" ref="C219:K219" si="144">+C89</f>
        <v>10.123085993843429</v>
      </c>
      <c r="D219" s="111">
        <f t="shared" si="144"/>
        <v>20.246171987686857</v>
      </c>
      <c r="E219" s="111">
        <f t="shared" si="144"/>
        <v>28.937109576064223</v>
      </c>
      <c r="F219" s="111">
        <f t="shared" si="144"/>
        <v>38.582812768085624</v>
      </c>
      <c r="G219" s="112">
        <f t="shared" si="144"/>
        <v>48.228515960107032</v>
      </c>
      <c r="H219" s="111">
        <f t="shared" si="144"/>
        <v>56.763233032657773</v>
      </c>
      <c r="I219" s="111">
        <f t="shared" si="144"/>
        <v>66.223771871434082</v>
      </c>
      <c r="J219" s="111">
        <f t="shared" si="144"/>
        <v>75.684310710210383</v>
      </c>
      <c r="K219" s="111">
        <f t="shared" si="144"/>
        <v>85.144849548986684</v>
      </c>
      <c r="L219" s="68"/>
      <c r="M219" s="68"/>
      <c r="N219" s="68"/>
      <c r="P219" s="63"/>
      <c r="Q219" s="63"/>
      <c r="R219" s="63"/>
      <c r="U219" s="30"/>
      <c r="V219" s="30"/>
      <c r="W219" s="64"/>
      <c r="Y219" s="63"/>
      <c r="Z219" s="63"/>
      <c r="AA219" s="63"/>
    </row>
    <row r="220" spans="1:27" s="65" customFormat="1">
      <c r="A220" s="107" t="str">
        <f t="shared" si="138"/>
        <v>Levetid redskaper</v>
      </c>
      <c r="B220" s="110"/>
      <c r="C220" s="111">
        <f t="shared" ref="C220:K220" si="145">+C91</f>
        <v>14.523141693719623</v>
      </c>
      <c r="D220" s="111">
        <f t="shared" si="145"/>
        <v>17.32915003195798</v>
      </c>
      <c r="E220" s="111">
        <f t="shared" si="145"/>
        <v>19.960634558716478</v>
      </c>
      <c r="F220" s="111">
        <f t="shared" si="145"/>
        <v>22.886333525692081</v>
      </c>
      <c r="G220" s="112">
        <f t="shared" si="145"/>
        <v>25.892032492667667</v>
      </c>
      <c r="H220" s="111">
        <f t="shared" si="145"/>
        <v>28.821959078868744</v>
      </c>
      <c r="I220" s="111">
        <f t="shared" si="145"/>
        <v>31.970793728724715</v>
      </c>
      <c r="J220" s="111">
        <f t="shared" si="145"/>
        <v>35.199628378580684</v>
      </c>
      <c r="K220" s="111">
        <f t="shared" si="145"/>
        <v>38.50846302843668</v>
      </c>
      <c r="L220" s="75"/>
      <c r="M220" s="75"/>
      <c r="N220" s="76"/>
      <c r="P220" s="63"/>
      <c r="Q220" s="63"/>
      <c r="R220" s="63"/>
      <c r="U220" s="64"/>
      <c r="V220" s="64"/>
      <c r="W220" s="64"/>
      <c r="Y220" s="63"/>
      <c r="Z220" s="63"/>
      <c r="AA220" s="63"/>
    </row>
    <row r="221" spans="1:27" s="69" customFormat="1">
      <c r="A221" s="107" t="str">
        <f t="shared" si="138"/>
        <v>Tap i prosent</v>
      </c>
      <c r="B221" s="119"/>
      <c r="C221" s="116">
        <f t="shared" ref="C221:K221" si="146">100-($N$7+$N$8*$D$22+$N$9*C217+$N$10*C206+$N$11*$D$22*C206+$N$12*C217^2+$N$13*C217*C206+$N$14*C206^2+$N$15*$D$22*C217*C206)</f>
        <v>11.548947641318534</v>
      </c>
      <c r="D221" s="116">
        <f t="shared" si="146"/>
        <v>13.378564317795281</v>
      </c>
      <c r="E221" s="116">
        <f t="shared" si="146"/>
        <v>14.996814412989252</v>
      </c>
      <c r="F221" s="116">
        <f t="shared" si="146"/>
        <v>16.905812346940465</v>
      </c>
      <c r="G221" s="116">
        <f t="shared" si="146"/>
        <v>18.894810280891633</v>
      </c>
      <c r="H221" s="116">
        <f t="shared" si="146"/>
        <v>20.745947606705428</v>
      </c>
      <c r="I221" s="116">
        <f t="shared" si="146"/>
        <v>22.861216906417368</v>
      </c>
      <c r="J221" s="116">
        <f t="shared" si="146"/>
        <v>25.056486206129335</v>
      </c>
      <c r="K221" s="116">
        <f t="shared" si="146"/>
        <v>27.331755505841286</v>
      </c>
      <c r="L221" s="64"/>
      <c r="M221" s="64"/>
      <c r="N221" s="64"/>
      <c r="P221" s="70"/>
      <c r="Q221" s="70"/>
      <c r="R221" s="70"/>
      <c r="U221" s="68"/>
      <c r="V221" s="68"/>
      <c r="W221" s="68"/>
      <c r="Y221" s="70"/>
      <c r="Z221" s="70"/>
      <c r="AA221" s="70"/>
    </row>
    <row r="222" spans="1:27" s="77" customFormat="1" ht="14.4" customHeight="1">
      <c r="A222" s="117"/>
      <c r="B222" s="117"/>
      <c r="C222" s="118"/>
      <c r="D222" s="118"/>
      <c r="E222" s="118"/>
      <c r="F222" s="118"/>
      <c r="G222" s="118"/>
      <c r="H222" s="118"/>
      <c r="I222" s="118"/>
      <c r="J222" s="118"/>
      <c r="K222" s="118"/>
      <c r="L222" s="64"/>
      <c r="M222" s="64"/>
      <c r="N222" s="64"/>
      <c r="P222" s="78"/>
      <c r="U222" s="75"/>
      <c r="V222" s="75"/>
      <c r="W222" s="76"/>
      <c r="Y222" s="78"/>
    </row>
    <row r="223" spans="1:27" s="65" customFormat="1">
      <c r="A223" s="107"/>
      <c r="B223" s="114"/>
      <c r="C223" s="111"/>
      <c r="D223" s="111"/>
      <c r="E223" s="111"/>
      <c r="F223" s="111"/>
      <c r="G223" s="112"/>
      <c r="H223" s="111"/>
      <c r="I223" s="111"/>
      <c r="J223" s="111"/>
      <c r="K223" s="111"/>
      <c r="L223" s="64"/>
      <c r="M223" s="64"/>
      <c r="N223" s="64"/>
      <c r="P223" s="63"/>
      <c r="Q223" s="63"/>
      <c r="R223" s="63"/>
      <c r="U223" s="64"/>
      <c r="V223" s="64"/>
      <c r="W223" s="64"/>
      <c r="Y223" s="63"/>
      <c r="Z223" s="63"/>
      <c r="AA223" s="63"/>
    </row>
    <row r="224" spans="1:27" s="65" customFormat="1">
      <c r="A224" s="107"/>
      <c r="B224" s="114"/>
      <c r="C224" s="111"/>
      <c r="D224" s="111"/>
      <c r="E224" s="111"/>
      <c r="F224" s="111"/>
      <c r="G224" s="112"/>
      <c r="H224" s="111"/>
      <c r="I224" s="111"/>
      <c r="J224" s="111"/>
      <c r="K224" s="111"/>
      <c r="L224" s="64"/>
      <c r="M224" s="64"/>
      <c r="N224" s="64"/>
      <c r="P224" s="63"/>
      <c r="Q224" s="63"/>
      <c r="R224" s="63"/>
      <c r="U224" s="64"/>
      <c r="V224" s="64"/>
      <c r="W224" s="64"/>
      <c r="Y224" s="63"/>
      <c r="Z224" s="63"/>
      <c r="AA224" s="63"/>
    </row>
    <row r="225" spans="1:27" s="65" customFormat="1">
      <c r="A225" s="107" t="s">
        <v>37</v>
      </c>
      <c r="B225" s="114"/>
      <c r="C225" s="111" t="str">
        <f t="shared" ref="C225:G225" si="147">+C95</f>
        <v/>
      </c>
      <c r="D225" s="111" t="str">
        <f t="shared" si="147"/>
        <v/>
      </c>
      <c r="E225" s="111" t="str">
        <f t="shared" si="147"/>
        <v/>
      </c>
      <c r="F225" s="111" t="str">
        <f t="shared" si="147"/>
        <v/>
      </c>
      <c r="G225" s="112" t="str">
        <f t="shared" si="147"/>
        <v/>
      </c>
      <c r="H225" s="111"/>
      <c r="I225" s="111"/>
      <c r="J225" s="111"/>
      <c r="K225" s="111"/>
      <c r="L225" s="64"/>
      <c r="M225" s="64"/>
      <c r="N225" s="64"/>
      <c r="P225" s="63"/>
      <c r="Q225" s="63"/>
      <c r="R225" s="63"/>
      <c r="U225" s="64"/>
      <c r="V225" s="64"/>
      <c r="W225" s="64"/>
      <c r="Y225" s="63"/>
      <c r="Z225" s="63"/>
      <c r="AA225" s="63"/>
    </row>
    <row r="226" spans="1:27" s="65" customFormat="1">
      <c r="A226" s="107" t="s">
        <v>4</v>
      </c>
      <c r="B226" s="114"/>
      <c r="C226" s="111">
        <v>200</v>
      </c>
      <c r="D226" s="111">
        <v>400</v>
      </c>
      <c r="E226" s="111">
        <v>600</v>
      </c>
      <c r="F226" s="111">
        <v>800</v>
      </c>
      <c r="G226" s="112">
        <v>1000</v>
      </c>
      <c r="H226" s="111">
        <v>1200</v>
      </c>
      <c r="I226" s="111">
        <v>1400</v>
      </c>
      <c r="J226" s="111">
        <v>1600</v>
      </c>
      <c r="K226" s="111">
        <v>1800</v>
      </c>
      <c r="L226" s="64"/>
      <c r="M226" s="64"/>
      <c r="N226" s="64"/>
      <c r="P226" s="63"/>
      <c r="Q226" s="63"/>
      <c r="R226" s="63"/>
      <c r="U226" s="64"/>
      <c r="V226" s="64"/>
      <c r="W226" s="64"/>
      <c r="Y226" s="63"/>
      <c r="Z226" s="63"/>
      <c r="AA226" s="63"/>
    </row>
    <row r="227" spans="1:27" s="65" customFormat="1">
      <c r="A227" s="107"/>
      <c r="B227" s="114"/>
      <c r="C227" s="111"/>
      <c r="D227" s="111"/>
      <c r="E227" s="111"/>
      <c r="F227" s="111"/>
      <c r="G227" s="112"/>
      <c r="H227" s="111"/>
      <c r="I227" s="111"/>
      <c r="J227" s="111"/>
      <c r="K227" s="111"/>
      <c r="L227" s="64"/>
      <c r="M227" s="64"/>
      <c r="N227" s="64"/>
      <c r="P227" s="63"/>
      <c r="Q227" s="63"/>
      <c r="R227" s="63"/>
      <c r="U227" s="64"/>
      <c r="V227" s="64"/>
      <c r="W227" s="64"/>
      <c r="Y227" s="63"/>
      <c r="Z227" s="63"/>
      <c r="AA227" s="63"/>
    </row>
    <row r="228" spans="1:27" s="65" customFormat="1">
      <c r="A228" s="107" t="s">
        <v>81</v>
      </c>
      <c r="B228" s="110"/>
      <c r="C228" s="111">
        <f t="shared" ref="C228:K234" si="148">+C98</f>
        <v>12.079920755719842</v>
      </c>
      <c r="D228" s="111">
        <f t="shared" si="148"/>
        <v>24.159841511439684</v>
      </c>
      <c r="E228" s="111">
        <f t="shared" si="148"/>
        <v>33.916700583367245</v>
      </c>
      <c r="F228" s="111">
        <f t="shared" si="148"/>
        <v>45.222267444489667</v>
      </c>
      <c r="G228" s="112">
        <f t="shared" si="148"/>
        <v>56.527834305612082</v>
      </c>
      <c r="H228" s="111">
        <f t="shared" si="148"/>
        <v>66.137566137566125</v>
      </c>
      <c r="I228" s="111">
        <f t="shared" si="148"/>
        <v>77.160493827160494</v>
      </c>
      <c r="J228" s="111">
        <f t="shared" si="148"/>
        <v>88.183421516754848</v>
      </c>
      <c r="K228" s="111">
        <f t="shared" si="148"/>
        <v>99.206349206349188</v>
      </c>
      <c r="L228" s="64"/>
      <c r="M228" s="64"/>
      <c r="N228" s="64"/>
      <c r="P228" s="63"/>
      <c r="Q228" s="63"/>
      <c r="R228" s="63"/>
      <c r="U228" s="64"/>
      <c r="V228" s="64"/>
      <c r="W228" s="64"/>
      <c r="Y228" s="63"/>
      <c r="Z228" s="63"/>
      <c r="AA228" s="63"/>
    </row>
    <row r="229" spans="1:27" s="65" customFormat="1">
      <c r="A229" s="107" t="s">
        <v>82</v>
      </c>
      <c r="B229" s="110"/>
      <c r="C229" s="111">
        <f t="shared" si="148"/>
        <v>4.020508517455335</v>
      </c>
      <c r="D229" s="111">
        <f t="shared" si="148"/>
        <v>8.04101703491067</v>
      </c>
      <c r="E229" s="111">
        <f t="shared" si="148"/>
        <v>11.459056184921298</v>
      </c>
      <c r="F229" s="111">
        <f t="shared" si="148"/>
        <v>15.278741579895065</v>
      </c>
      <c r="G229" s="112">
        <f t="shared" si="148"/>
        <v>19.098426974868833</v>
      </c>
      <c r="H229" s="111">
        <f t="shared" si="148"/>
        <v>22.43031724745375</v>
      </c>
      <c r="I229" s="111">
        <f t="shared" si="148"/>
        <v>26.168703455362706</v>
      </c>
      <c r="J229" s="111">
        <f t="shared" si="148"/>
        <v>29.907089663271666</v>
      </c>
      <c r="K229" s="111">
        <f t="shared" si="148"/>
        <v>33.645475871180629</v>
      </c>
      <c r="L229" s="64"/>
      <c r="M229" s="64"/>
      <c r="N229" s="64"/>
      <c r="P229" s="63"/>
      <c r="Q229" s="63"/>
      <c r="R229" s="63"/>
      <c r="U229" s="64"/>
      <c r="V229" s="64"/>
      <c r="W229" s="64"/>
      <c r="Y229" s="63"/>
      <c r="Z229" s="63"/>
      <c r="AA229" s="63"/>
    </row>
    <row r="230" spans="1:27" s="65" customFormat="1">
      <c r="A230" s="107" t="s">
        <v>83</v>
      </c>
      <c r="B230" s="110"/>
      <c r="C230" s="111">
        <f t="shared" si="148"/>
        <v>3.7014088302289623</v>
      </c>
      <c r="D230" s="111">
        <f t="shared" si="148"/>
        <v>7.4028176604579246</v>
      </c>
      <c r="E230" s="111">
        <f t="shared" si="148"/>
        <v>10.595254650323488</v>
      </c>
      <c r="F230" s="111">
        <f t="shared" si="148"/>
        <v>14.127006200431314</v>
      </c>
      <c r="G230" s="112">
        <f t="shared" si="148"/>
        <v>17.658757750539145</v>
      </c>
      <c r="H230" s="111">
        <f t="shared" si="148"/>
        <v>20.776247347457545</v>
      </c>
      <c r="I230" s="111">
        <f t="shared" si="148"/>
        <v>24.23895523870047</v>
      </c>
      <c r="J230" s="111">
        <f t="shared" si="148"/>
        <v>27.701663129943391</v>
      </c>
      <c r="K230" s="111">
        <f t="shared" si="148"/>
        <v>31.164371021186312</v>
      </c>
      <c r="L230" s="64"/>
      <c r="M230" s="64"/>
      <c r="N230" s="64"/>
      <c r="P230" s="63"/>
      <c r="Q230" s="63"/>
      <c r="R230" s="63"/>
      <c r="U230" s="64"/>
      <c r="V230" s="64"/>
      <c r="W230" s="64"/>
      <c r="Y230" s="63"/>
      <c r="Z230" s="63"/>
      <c r="AA230" s="63"/>
    </row>
    <row r="231" spans="1:27" s="65" customFormat="1">
      <c r="A231" s="107" t="s">
        <v>84</v>
      </c>
      <c r="B231" s="110"/>
      <c r="C231" s="111">
        <f t="shared" si="148"/>
        <v>16.586966293625796</v>
      </c>
      <c r="D231" s="111">
        <f t="shared" si="148"/>
        <v>33.173932587251592</v>
      </c>
      <c r="E231" s="111">
        <f t="shared" si="148"/>
        <v>47.410441675674647</v>
      </c>
      <c r="F231" s="111">
        <f t="shared" si="148"/>
        <v>63.213922234232875</v>
      </c>
      <c r="G231" s="112">
        <f t="shared" si="148"/>
        <v>79.017402792791088</v>
      </c>
      <c r="H231" s="111">
        <f t="shared" si="148"/>
        <v>92.894499716671788</v>
      </c>
      <c r="I231" s="111">
        <f t="shared" si="148"/>
        <v>108.37691633611709</v>
      </c>
      <c r="J231" s="111">
        <f t="shared" si="148"/>
        <v>123.85933295556239</v>
      </c>
      <c r="K231" s="111">
        <f t="shared" si="148"/>
        <v>139.34174957500767</v>
      </c>
      <c r="L231" s="30"/>
      <c r="M231" s="30"/>
      <c r="N231" s="64"/>
      <c r="P231" s="63"/>
      <c r="Q231" s="63"/>
      <c r="R231" s="63"/>
      <c r="U231" s="64"/>
      <c r="V231" s="64"/>
      <c r="W231" s="64"/>
      <c r="Y231" s="63"/>
      <c r="Z231" s="63"/>
      <c r="AA231" s="63"/>
    </row>
    <row r="232" spans="1:27" s="65" customFormat="1">
      <c r="A232" s="107" t="s">
        <v>85</v>
      </c>
      <c r="B232" s="110"/>
      <c r="C232" s="111">
        <f t="shared" si="148"/>
        <v>4.7445515645573932</v>
      </c>
      <c r="D232" s="111">
        <f t="shared" si="148"/>
        <v>9.4891031291147865</v>
      </c>
      <c r="E232" s="111">
        <f t="shared" si="148"/>
        <v>13.55104441287051</v>
      </c>
      <c r="F232" s="111">
        <f t="shared" si="148"/>
        <v>18.068059217160684</v>
      </c>
      <c r="G232" s="112">
        <f t="shared" si="148"/>
        <v>22.585074021450851</v>
      </c>
      <c r="H232" s="111">
        <f t="shared" si="148"/>
        <v>26.539621498553089</v>
      </c>
      <c r="I232" s="111">
        <f t="shared" si="148"/>
        <v>30.962891748311939</v>
      </c>
      <c r="J232" s="111">
        <f t="shared" si="148"/>
        <v>35.38616199807079</v>
      </c>
      <c r="K232" s="111">
        <f t="shared" si="148"/>
        <v>39.809432247829641</v>
      </c>
      <c r="L232" s="64"/>
      <c r="M232" s="64"/>
      <c r="N232" s="64"/>
      <c r="P232" s="63"/>
      <c r="Q232" s="63"/>
      <c r="R232" s="63"/>
      <c r="U232" s="64"/>
      <c r="V232" s="64"/>
      <c r="W232" s="64"/>
      <c r="Y232" s="63"/>
      <c r="Z232" s="63"/>
      <c r="AA232" s="63"/>
    </row>
    <row r="233" spans="1:27" s="65" customFormat="1">
      <c r="A233" s="107" t="str">
        <f>+A63</f>
        <v>Annet kjøring for øvrig i året</v>
      </c>
      <c r="B233" s="110"/>
      <c r="C233" s="111">
        <f t="shared" si="148"/>
        <v>26.03996037785992</v>
      </c>
      <c r="D233" s="111">
        <f t="shared" si="148"/>
        <v>52.07992075571984</v>
      </c>
      <c r="E233" s="111">
        <f t="shared" si="148"/>
        <v>76.958350291683615</v>
      </c>
      <c r="F233" s="111">
        <f t="shared" si="148"/>
        <v>102.61113372224483</v>
      </c>
      <c r="G233" s="112">
        <f t="shared" si="148"/>
        <v>128.26391715280604</v>
      </c>
      <c r="H233" s="111">
        <f t="shared" si="148"/>
        <v>153.06878306878306</v>
      </c>
      <c r="I233" s="111">
        <f t="shared" si="148"/>
        <v>178.58024691358025</v>
      </c>
      <c r="J233" s="111">
        <f t="shared" si="148"/>
        <v>204.09171075837742</v>
      </c>
      <c r="K233" s="111">
        <f t="shared" si="148"/>
        <v>229.60317460317458</v>
      </c>
      <c r="L233" s="64"/>
      <c r="M233" s="64"/>
      <c r="N233" s="64"/>
      <c r="P233" s="63"/>
      <c r="Q233" s="63"/>
      <c r="R233" s="63"/>
      <c r="U233" s="30"/>
      <c r="V233" s="30"/>
      <c r="W233" s="64"/>
      <c r="Y233" s="63"/>
      <c r="Z233" s="63"/>
      <c r="AA233" s="63"/>
    </row>
    <row r="234" spans="1:27" s="65" customFormat="1">
      <c r="A234" s="107" t="str">
        <f>+A64</f>
        <v>Sum våronnkjøring inkludert 2 timer diverse per 100 dekar</v>
      </c>
      <c r="B234" s="110"/>
      <c r="C234" s="111">
        <f t="shared" si="148"/>
        <v>39.093395583727407</v>
      </c>
      <c r="D234" s="111">
        <f t="shared" si="148"/>
        <v>78.186791167454814</v>
      </c>
      <c r="E234" s="111">
        <f t="shared" si="148"/>
        <v>111.97414721547355</v>
      </c>
      <c r="F234" s="111">
        <f t="shared" si="148"/>
        <v>149.29886295396477</v>
      </c>
      <c r="G234" s="112">
        <f t="shared" si="148"/>
        <v>186.62357869245596</v>
      </c>
      <c r="H234" s="111">
        <f t="shared" si="148"/>
        <v>219.70946887891924</v>
      </c>
      <c r="I234" s="111">
        <f t="shared" si="148"/>
        <v>256.32771369207245</v>
      </c>
      <c r="J234" s="111">
        <f t="shared" si="148"/>
        <v>292.94595850522569</v>
      </c>
      <c r="K234" s="111">
        <f t="shared" si="148"/>
        <v>329.56420331837887</v>
      </c>
      <c r="L234" s="64"/>
      <c r="M234" s="64"/>
      <c r="N234" s="64"/>
      <c r="P234" s="63"/>
      <c r="Q234" s="63"/>
      <c r="R234" s="63"/>
      <c r="U234" s="64"/>
      <c r="V234" s="64"/>
      <c r="W234" s="64"/>
      <c r="Y234" s="63"/>
      <c r="Z234" s="63"/>
      <c r="AA234" s="63"/>
    </row>
    <row r="235" spans="1:27" s="65" customFormat="1">
      <c r="A235" s="107" t="s">
        <v>72</v>
      </c>
      <c r="B235" s="110"/>
      <c r="C235" s="111">
        <f t="shared" ref="C235:K235" si="149">+(C105+$D$20)/2</f>
        <v>88.606638358653584</v>
      </c>
      <c r="D235" s="111">
        <f t="shared" si="149"/>
        <v>127.21327671730717</v>
      </c>
      <c r="E235" s="111">
        <f t="shared" si="149"/>
        <v>161.4245990452622</v>
      </c>
      <c r="F235" s="111">
        <f t="shared" si="149"/>
        <v>198.56613206034964</v>
      </c>
      <c r="G235" s="112">
        <f t="shared" si="149"/>
        <v>235.70766507543706</v>
      </c>
      <c r="H235" s="111">
        <f t="shared" si="149"/>
        <v>269.45790904263424</v>
      </c>
      <c r="I235" s="111">
        <f t="shared" si="149"/>
        <v>306.03422721640658</v>
      </c>
      <c r="J235" s="111">
        <f t="shared" si="149"/>
        <v>342.61054539017897</v>
      </c>
      <c r="K235" s="111">
        <f t="shared" si="149"/>
        <v>379.18686356395131</v>
      </c>
      <c r="L235" s="64"/>
      <c r="M235" s="64"/>
      <c r="N235" s="64"/>
      <c r="P235" s="63"/>
      <c r="Q235" s="63"/>
      <c r="R235" s="63"/>
      <c r="U235" s="64"/>
      <c r="V235" s="64"/>
      <c r="W235" s="64"/>
      <c r="Y235" s="63"/>
      <c r="Z235" s="63"/>
      <c r="AA235" s="63"/>
    </row>
    <row r="236" spans="1:27" s="65" customFormat="1">
      <c r="A236" s="107" t="str">
        <f>+A66</f>
        <v>Dager våronn</v>
      </c>
      <c r="B236" s="110"/>
      <c r="C236" s="111">
        <f t="shared" ref="C236:K236" si="150">+C106/2</f>
        <v>2.4433372239829629</v>
      </c>
      <c r="D236" s="111">
        <f t="shared" si="150"/>
        <v>4.8866744479659259</v>
      </c>
      <c r="E236" s="111">
        <f t="shared" si="150"/>
        <v>6.9983842009670969</v>
      </c>
      <c r="F236" s="111">
        <f t="shared" si="150"/>
        <v>9.3311789346227982</v>
      </c>
      <c r="G236" s="112">
        <f t="shared" si="150"/>
        <v>11.663973668278498</v>
      </c>
      <c r="H236" s="111">
        <f t="shared" si="150"/>
        <v>13.731841804932452</v>
      </c>
      <c r="I236" s="111">
        <f t="shared" si="150"/>
        <v>16.020482105754528</v>
      </c>
      <c r="J236" s="111">
        <f t="shared" si="150"/>
        <v>18.309122406576606</v>
      </c>
      <c r="K236" s="111">
        <f t="shared" si="150"/>
        <v>20.59776270739868</v>
      </c>
      <c r="L236" s="30"/>
      <c r="M236" s="30"/>
      <c r="N236" s="64"/>
      <c r="P236" s="63"/>
      <c r="Q236" s="63"/>
      <c r="R236" s="63"/>
      <c r="U236" s="64"/>
      <c r="V236" s="64"/>
      <c r="W236" s="64"/>
      <c r="Y236" s="63"/>
      <c r="Z236" s="63"/>
      <c r="AA236" s="63"/>
    </row>
    <row r="237" spans="1:27" s="65" customFormat="1">
      <c r="A237" s="107" t="str">
        <f>+A67</f>
        <v>Kapasitet daa per. Dag</v>
      </c>
      <c r="B237" s="110"/>
      <c r="C237" s="111">
        <f t="shared" ref="C237:K237" si="151">+C226/C236</f>
        <v>81.855258470614856</v>
      </c>
      <c r="D237" s="111">
        <f t="shared" si="151"/>
        <v>81.855258470614856</v>
      </c>
      <c r="E237" s="111">
        <f t="shared" si="151"/>
        <v>85.734075576629081</v>
      </c>
      <c r="F237" s="111">
        <f t="shared" si="151"/>
        <v>85.734075576629053</v>
      </c>
      <c r="G237" s="112">
        <f t="shared" si="151"/>
        <v>85.734075576629053</v>
      </c>
      <c r="H237" s="111">
        <f t="shared" si="151"/>
        <v>87.388131690314268</v>
      </c>
      <c r="I237" s="111">
        <f t="shared" si="151"/>
        <v>87.388131690314268</v>
      </c>
      <c r="J237" s="111">
        <f t="shared" si="151"/>
        <v>87.388131690314268</v>
      </c>
      <c r="K237" s="111">
        <f t="shared" si="151"/>
        <v>87.388131690314268</v>
      </c>
      <c r="L237" s="30"/>
      <c r="M237" s="30"/>
      <c r="N237" s="64"/>
      <c r="P237" s="63"/>
      <c r="Q237" s="63"/>
      <c r="R237" s="63"/>
      <c r="U237" s="64"/>
      <c r="V237" s="64"/>
      <c r="W237" s="64"/>
      <c r="Y237" s="63"/>
      <c r="Z237" s="63"/>
      <c r="AA237" s="63"/>
    </row>
    <row r="238" spans="1:27" s="65" customFormat="1">
      <c r="A238" s="107" t="str">
        <f>+A68</f>
        <v>Levetid traktor</v>
      </c>
      <c r="B238" s="110"/>
      <c r="C238" s="111">
        <f t="shared" ref="C238:K238" si="152">IF(6000/C235&gt;12,12,6000/C235)</f>
        <v>12</v>
      </c>
      <c r="D238" s="111">
        <f t="shared" si="152"/>
        <v>12</v>
      </c>
      <c r="E238" s="111">
        <f t="shared" si="152"/>
        <v>12</v>
      </c>
      <c r="F238" s="111">
        <f t="shared" si="152"/>
        <v>12</v>
      </c>
      <c r="G238" s="112">
        <f t="shared" si="152"/>
        <v>12</v>
      </c>
      <c r="H238" s="111">
        <f t="shared" si="152"/>
        <v>12</v>
      </c>
      <c r="I238" s="111">
        <f t="shared" si="152"/>
        <v>12</v>
      </c>
      <c r="J238" s="111">
        <f t="shared" si="152"/>
        <v>12</v>
      </c>
      <c r="K238" s="111">
        <f t="shared" si="152"/>
        <v>12</v>
      </c>
      <c r="L238" s="30"/>
      <c r="M238" s="30"/>
      <c r="N238" s="64"/>
      <c r="P238" s="63"/>
      <c r="Q238" s="63"/>
      <c r="R238" s="63"/>
      <c r="U238" s="30"/>
      <c r="V238" s="30"/>
      <c r="W238" s="64"/>
      <c r="Y238" s="63"/>
      <c r="Z238" s="63"/>
      <c r="AA238" s="63"/>
    </row>
    <row r="239" spans="1:27" s="65" customFormat="1">
      <c r="A239" s="107" t="s">
        <v>74</v>
      </c>
      <c r="B239" s="114"/>
      <c r="C239" s="120">
        <f t="shared" ref="C239:K239" si="153">AVERAGE(C228:C232)</f>
        <v>8.2266711923174647</v>
      </c>
      <c r="D239" s="120">
        <f t="shared" si="153"/>
        <v>16.453342384634929</v>
      </c>
      <c r="E239" s="120">
        <f t="shared" si="153"/>
        <v>23.386499501431437</v>
      </c>
      <c r="F239" s="120">
        <f t="shared" si="153"/>
        <v>31.181999335241919</v>
      </c>
      <c r="G239" s="118">
        <f t="shared" si="153"/>
        <v>38.977499169052393</v>
      </c>
      <c r="H239" s="120">
        <f t="shared" si="153"/>
        <v>45.755650389540463</v>
      </c>
      <c r="I239" s="120">
        <f t="shared" si="153"/>
        <v>53.381592121130538</v>
      </c>
      <c r="J239" s="120">
        <f t="shared" si="153"/>
        <v>61.00753385272062</v>
      </c>
      <c r="K239" s="120">
        <f t="shared" si="153"/>
        <v>68.633475584310688</v>
      </c>
      <c r="L239" s="68"/>
      <c r="M239" s="68"/>
      <c r="N239" s="68"/>
      <c r="P239" s="63"/>
      <c r="Q239" s="63"/>
      <c r="R239" s="63"/>
      <c r="U239" s="30"/>
      <c r="V239" s="30"/>
      <c r="W239" s="64"/>
      <c r="Y239" s="63"/>
      <c r="Z239" s="63"/>
      <c r="AA239" s="63"/>
    </row>
    <row r="240" spans="1:27" s="65" customFormat="1">
      <c r="A240" s="107" t="str">
        <f>+A70</f>
        <v>Levetid redskaper</v>
      </c>
      <c r="B240" s="110"/>
      <c r="C240" s="120">
        <f t="shared" ref="C240:K240" si="154">IF(650/C239&gt;15,15,650/C239)</f>
        <v>15</v>
      </c>
      <c r="D240" s="120">
        <f t="shared" si="154"/>
        <v>15</v>
      </c>
      <c r="E240" s="120">
        <f t="shared" si="154"/>
        <v>15</v>
      </c>
      <c r="F240" s="120">
        <f t="shared" si="154"/>
        <v>15</v>
      </c>
      <c r="G240" s="118">
        <f t="shared" si="154"/>
        <v>15</v>
      </c>
      <c r="H240" s="120">
        <f t="shared" si="154"/>
        <v>14.205895762954494</v>
      </c>
      <c r="I240" s="120">
        <f t="shared" si="154"/>
        <v>12.176482082532424</v>
      </c>
      <c r="J240" s="120">
        <f t="shared" si="154"/>
        <v>10.65442182221587</v>
      </c>
      <c r="K240" s="120">
        <f t="shared" si="154"/>
        <v>9.4705971753029967</v>
      </c>
      <c r="L240" s="75"/>
      <c r="M240" s="75"/>
      <c r="N240" s="76"/>
      <c r="P240" s="63"/>
      <c r="Q240" s="63"/>
      <c r="R240" s="63"/>
      <c r="U240" s="30"/>
      <c r="V240" s="30"/>
      <c r="W240" s="64"/>
      <c r="Y240" s="63"/>
      <c r="Z240" s="63"/>
      <c r="AA240" s="63"/>
    </row>
    <row r="241" spans="1:27" s="69" customFormat="1">
      <c r="A241" s="107" t="s">
        <v>43</v>
      </c>
      <c r="B241" s="121"/>
      <c r="C241" s="116">
        <f t="shared" ref="C241:K241" si="155">100-($N$7+$N$8*$D$22+$N$9*C237+$N$10*C226+$N$11*$D$22*C226+$N$12*C237^2+$N$13*C237*C226+$N$14*C226^2+$N$15*$D$22*C237*C226)</f>
        <v>11.133821254467961</v>
      </c>
      <c r="D241" s="116">
        <f t="shared" si="155"/>
        <v>12.640645068984838</v>
      </c>
      <c r="E241" s="116">
        <f t="shared" si="155"/>
        <v>13.936037966079923</v>
      </c>
      <c r="F241" s="116">
        <f t="shared" si="155"/>
        <v>15.495030665049626</v>
      </c>
      <c r="G241" s="116">
        <f t="shared" si="155"/>
        <v>17.134023364019328</v>
      </c>
      <c r="H241" s="116">
        <f t="shared" si="155"/>
        <v>18.600373797093965</v>
      </c>
      <c r="I241" s="116">
        <f t="shared" si="155"/>
        <v>20.353383736103225</v>
      </c>
      <c r="J241" s="116">
        <f t="shared" si="155"/>
        <v>22.186393675112484</v>
      </c>
      <c r="K241" s="116">
        <f t="shared" si="155"/>
        <v>24.099403614121755</v>
      </c>
      <c r="L241" s="64"/>
      <c r="M241" s="64"/>
      <c r="N241" s="64"/>
      <c r="P241" s="70"/>
      <c r="Q241" s="70"/>
      <c r="R241" s="70"/>
      <c r="U241" s="68"/>
      <c r="V241" s="68"/>
      <c r="W241" s="68"/>
      <c r="Y241" s="70"/>
      <c r="Z241" s="70"/>
      <c r="AA241" s="70"/>
    </row>
    <row r="242" spans="1:27" s="77" customFormat="1" ht="14.4" customHeight="1">
      <c r="A242" s="117"/>
      <c r="B242" s="117"/>
      <c r="C242" s="118"/>
      <c r="D242" s="118"/>
      <c r="E242" s="118"/>
      <c r="F242" s="118"/>
      <c r="G242" s="118"/>
      <c r="H242" s="118"/>
      <c r="I242" s="118"/>
      <c r="J242" s="118"/>
      <c r="K242" s="118"/>
      <c r="L242" s="64"/>
      <c r="M242" s="64"/>
      <c r="N242" s="64"/>
      <c r="P242" s="78"/>
      <c r="U242" s="75"/>
      <c r="V242" s="75"/>
      <c r="W242" s="76"/>
      <c r="Y242" s="78"/>
    </row>
    <row r="243" spans="1:27" s="65" customFormat="1">
      <c r="A243" s="107"/>
      <c r="B243" s="110"/>
      <c r="C243" s="111"/>
      <c r="D243" s="111"/>
      <c r="E243" s="111"/>
      <c r="F243" s="111"/>
      <c r="G243" s="112"/>
      <c r="H243" s="111"/>
      <c r="I243" s="111"/>
      <c r="J243" s="111"/>
      <c r="K243" s="111"/>
      <c r="L243" s="64"/>
      <c r="M243" s="64"/>
      <c r="N243" s="64"/>
      <c r="P243" s="63"/>
      <c r="Q243" s="63"/>
      <c r="R243" s="63"/>
      <c r="U243" s="64"/>
      <c r="V243" s="64"/>
      <c r="W243" s="64"/>
      <c r="Y243" s="63"/>
      <c r="Z243" s="63"/>
      <c r="AA243" s="63"/>
    </row>
    <row r="244" spans="1:27" s="65" customFormat="1">
      <c r="A244" s="107"/>
      <c r="B244" s="110"/>
      <c r="C244" s="111"/>
      <c r="D244" s="111"/>
      <c r="E244" s="111"/>
      <c r="F244" s="111"/>
      <c r="G244" s="112"/>
      <c r="H244" s="111"/>
      <c r="I244" s="111"/>
      <c r="J244" s="111"/>
      <c r="K244" s="111"/>
      <c r="L244" s="64"/>
      <c r="M244" s="64"/>
      <c r="N244" s="64"/>
      <c r="P244" s="63"/>
      <c r="Q244" s="63"/>
      <c r="R244" s="63"/>
      <c r="U244" s="64"/>
      <c r="V244" s="64"/>
      <c r="W244" s="64"/>
      <c r="Y244" s="63"/>
      <c r="Z244" s="63"/>
      <c r="AA244" s="63"/>
    </row>
    <row r="245" spans="1:27" s="65" customFormat="1">
      <c r="A245" s="107"/>
      <c r="B245" s="110"/>
      <c r="C245" s="111"/>
      <c r="D245" s="111"/>
      <c r="E245" s="111"/>
      <c r="F245" s="111"/>
      <c r="G245" s="112"/>
      <c r="H245" s="111"/>
      <c r="I245" s="111"/>
      <c r="J245" s="111"/>
      <c r="K245" s="111"/>
      <c r="L245" s="64"/>
      <c r="M245" s="64"/>
      <c r="N245" s="64"/>
      <c r="P245" s="63"/>
      <c r="Q245" s="63"/>
      <c r="R245" s="63"/>
      <c r="U245" s="64"/>
      <c r="V245" s="64"/>
      <c r="W245" s="64"/>
      <c r="Y245" s="63"/>
      <c r="Z245" s="63"/>
      <c r="AA245" s="63"/>
    </row>
    <row r="246" spans="1:27" s="65" customFormat="1">
      <c r="A246" s="107" t="s">
        <v>4</v>
      </c>
      <c r="B246" s="110"/>
      <c r="C246" s="111">
        <v>200</v>
      </c>
      <c r="D246" s="111">
        <v>400</v>
      </c>
      <c r="E246" s="111">
        <v>600</v>
      </c>
      <c r="F246" s="111">
        <v>800</v>
      </c>
      <c r="G246" s="112">
        <v>1000</v>
      </c>
      <c r="H246" s="111">
        <v>1200</v>
      </c>
      <c r="I246" s="111">
        <v>1400</v>
      </c>
      <c r="J246" s="111">
        <v>1600</v>
      </c>
      <c r="K246" s="111">
        <v>1800</v>
      </c>
      <c r="L246" s="64"/>
      <c r="M246" s="64"/>
      <c r="N246" s="64"/>
      <c r="P246" s="63"/>
      <c r="Q246" s="63"/>
      <c r="R246" s="63"/>
      <c r="U246" s="64"/>
      <c r="V246" s="64"/>
      <c r="W246" s="64"/>
      <c r="Y246" s="63"/>
      <c r="Z246" s="63"/>
      <c r="AA246" s="63"/>
    </row>
    <row r="247" spans="1:27" s="65" customFormat="1">
      <c r="A247" s="107"/>
      <c r="B247" s="110"/>
      <c r="C247" s="111"/>
      <c r="D247" s="111"/>
      <c r="E247" s="111"/>
      <c r="F247" s="111"/>
      <c r="G247" s="112"/>
      <c r="H247" s="111"/>
      <c r="I247" s="111"/>
      <c r="J247" s="111"/>
      <c r="K247" s="111"/>
      <c r="L247" s="64"/>
      <c r="M247" s="64"/>
      <c r="N247" s="64"/>
      <c r="P247" s="63"/>
      <c r="Q247" s="63"/>
      <c r="R247" s="63"/>
      <c r="U247" s="64"/>
      <c r="V247" s="64"/>
      <c r="W247" s="64"/>
      <c r="Y247" s="63"/>
      <c r="Z247" s="63"/>
      <c r="AA247" s="63"/>
    </row>
    <row r="248" spans="1:27" s="65" customFormat="1">
      <c r="A248" s="107" t="s">
        <v>81</v>
      </c>
      <c r="B248" s="110"/>
      <c r="C248" s="111">
        <f t="shared" ref="C248:K253" si="156">+C118</f>
        <v>0</v>
      </c>
      <c r="D248" s="111">
        <f t="shared" si="156"/>
        <v>0</v>
      </c>
      <c r="E248" s="111">
        <f t="shared" si="156"/>
        <v>0</v>
      </c>
      <c r="F248" s="111">
        <f t="shared" si="156"/>
        <v>0</v>
      </c>
      <c r="G248" s="112">
        <f t="shared" si="156"/>
        <v>0</v>
      </c>
      <c r="H248" s="111">
        <f t="shared" si="156"/>
        <v>0</v>
      </c>
      <c r="I248" s="111">
        <f t="shared" si="156"/>
        <v>0</v>
      </c>
      <c r="J248" s="111">
        <f t="shared" si="156"/>
        <v>0</v>
      </c>
      <c r="K248" s="111">
        <f t="shared" si="156"/>
        <v>0</v>
      </c>
      <c r="L248" s="64"/>
      <c r="M248" s="64"/>
      <c r="N248" s="64"/>
      <c r="P248" s="63"/>
      <c r="Q248" s="63"/>
      <c r="R248" s="63"/>
      <c r="U248" s="64"/>
      <c r="V248" s="64"/>
      <c r="W248" s="64"/>
      <c r="Y248" s="63"/>
      <c r="Z248" s="63"/>
      <c r="AA248" s="63"/>
    </row>
    <row r="249" spans="1:27" s="65" customFormat="1">
      <c r="A249" s="107" t="s">
        <v>82</v>
      </c>
      <c r="B249" s="110"/>
      <c r="C249" s="111">
        <f t="shared" si="156"/>
        <v>139.6825396825397</v>
      </c>
      <c r="D249" s="111">
        <f t="shared" si="156"/>
        <v>279.3650793650794</v>
      </c>
      <c r="E249" s="111">
        <f t="shared" si="156"/>
        <v>419.04761904761909</v>
      </c>
      <c r="F249" s="111">
        <f t="shared" si="156"/>
        <v>558.73015873015879</v>
      </c>
      <c r="G249" s="112">
        <f t="shared" si="156"/>
        <v>698.41269841269843</v>
      </c>
      <c r="H249" s="111">
        <f t="shared" si="156"/>
        <v>838.09523809523819</v>
      </c>
      <c r="I249" s="111">
        <f t="shared" si="156"/>
        <v>977.77777777777771</v>
      </c>
      <c r="J249" s="111">
        <f t="shared" si="156"/>
        <v>1117.4603174603176</v>
      </c>
      <c r="K249" s="111">
        <f t="shared" si="156"/>
        <v>1257.1428571428571</v>
      </c>
      <c r="L249" s="64"/>
      <c r="M249" s="64"/>
      <c r="N249" s="64"/>
      <c r="P249" s="63"/>
      <c r="Q249" s="63"/>
      <c r="R249" s="63"/>
      <c r="U249" s="64"/>
      <c r="V249" s="64"/>
      <c r="W249" s="64"/>
      <c r="Y249" s="63"/>
      <c r="Z249" s="63"/>
      <c r="AA249" s="63"/>
    </row>
    <row r="250" spans="1:27" s="65" customFormat="1">
      <c r="A250" s="107" t="s">
        <v>83</v>
      </c>
      <c r="B250" s="110"/>
      <c r="C250" s="111">
        <f t="shared" si="156"/>
        <v>493.07607843137265</v>
      </c>
      <c r="D250" s="111">
        <f t="shared" si="156"/>
        <v>986.1521568627453</v>
      </c>
      <c r="E250" s="111">
        <f t="shared" si="156"/>
        <v>1479.2282352941177</v>
      </c>
      <c r="F250" s="111">
        <f t="shared" si="156"/>
        <v>1972.3043137254906</v>
      </c>
      <c r="G250" s="111">
        <f t="shared" si="156"/>
        <v>2465.3803921568629</v>
      </c>
      <c r="H250" s="111">
        <f t="shared" si="156"/>
        <v>2958.4564705882353</v>
      </c>
      <c r="I250" s="111">
        <f t="shared" si="156"/>
        <v>3451.5325490196083</v>
      </c>
      <c r="J250" s="111">
        <f t="shared" si="156"/>
        <v>3944.6086274509812</v>
      </c>
      <c r="K250" s="111">
        <f t="shared" si="156"/>
        <v>4437.6847058823541</v>
      </c>
      <c r="L250" s="64"/>
      <c r="M250" s="64"/>
      <c r="N250" s="64"/>
      <c r="P250" s="63"/>
      <c r="Q250" s="63"/>
      <c r="R250" s="63"/>
      <c r="U250" s="64"/>
      <c r="V250" s="64"/>
      <c r="W250" s="64"/>
      <c r="Y250" s="63"/>
      <c r="Z250" s="63"/>
      <c r="AA250" s="63"/>
    </row>
    <row r="251" spans="1:27" s="65" customFormat="1">
      <c r="A251" s="107" t="s">
        <v>84</v>
      </c>
      <c r="B251" s="110"/>
      <c r="C251" s="111">
        <f t="shared" si="156"/>
        <v>2337.2861111111115</v>
      </c>
      <c r="D251" s="111">
        <f t="shared" si="156"/>
        <v>4674.572222222223</v>
      </c>
      <c r="E251" s="111">
        <f t="shared" si="156"/>
        <v>7011.8583333333336</v>
      </c>
      <c r="F251" s="111">
        <f t="shared" si="156"/>
        <v>9349.144444444446</v>
      </c>
      <c r="G251" s="111">
        <f t="shared" si="156"/>
        <v>11686.430555555557</v>
      </c>
      <c r="H251" s="111">
        <f t="shared" si="156"/>
        <v>14023.716666666667</v>
      </c>
      <c r="I251" s="111">
        <f t="shared" si="156"/>
        <v>16361.00277777778</v>
      </c>
      <c r="J251" s="111">
        <f t="shared" si="156"/>
        <v>18698.288888888892</v>
      </c>
      <c r="K251" s="111">
        <f t="shared" si="156"/>
        <v>21035.575000000001</v>
      </c>
      <c r="L251" s="64"/>
      <c r="M251" s="64"/>
      <c r="N251" s="64"/>
      <c r="P251" s="63"/>
      <c r="Q251" s="63"/>
      <c r="R251" s="63"/>
      <c r="U251" s="64"/>
      <c r="V251" s="64"/>
      <c r="W251" s="64"/>
      <c r="Y251" s="63"/>
      <c r="Z251" s="63"/>
      <c r="AA251" s="63"/>
    </row>
    <row r="252" spans="1:27" s="65" customFormat="1">
      <c r="A252" s="107" t="s">
        <v>85</v>
      </c>
      <c r="B252" s="110"/>
      <c r="C252" s="111">
        <f t="shared" si="156"/>
        <v>286.88639999999992</v>
      </c>
      <c r="D252" s="111">
        <f t="shared" si="156"/>
        <v>573.77279999999985</v>
      </c>
      <c r="E252" s="111">
        <f t="shared" si="156"/>
        <v>860.65919999999994</v>
      </c>
      <c r="F252" s="111">
        <f t="shared" si="156"/>
        <v>1147.5455999999997</v>
      </c>
      <c r="G252" s="111">
        <f t="shared" si="156"/>
        <v>1434.432</v>
      </c>
      <c r="H252" s="111">
        <f t="shared" si="156"/>
        <v>1721.3183999999999</v>
      </c>
      <c r="I252" s="111">
        <f t="shared" si="156"/>
        <v>2008.2047999999998</v>
      </c>
      <c r="J252" s="111">
        <f t="shared" si="156"/>
        <v>2295.0911999999994</v>
      </c>
      <c r="K252" s="111">
        <f t="shared" si="156"/>
        <v>2581.9775999999997</v>
      </c>
      <c r="L252" s="64"/>
      <c r="M252" s="64"/>
      <c r="N252" s="64"/>
      <c r="P252" s="63"/>
      <c r="Q252" s="63"/>
      <c r="R252" s="63"/>
      <c r="U252" s="64"/>
      <c r="V252" s="64"/>
      <c r="W252" s="64"/>
      <c r="Y252" s="63"/>
      <c r="Z252" s="63"/>
      <c r="AA252" s="63"/>
    </row>
    <row r="253" spans="1:27" s="65" customFormat="1">
      <c r="A253" s="107" t="s">
        <v>62</v>
      </c>
      <c r="B253" s="110"/>
      <c r="C253" s="111">
        <f t="shared" si="156"/>
        <v>2276.5529058538914</v>
      </c>
      <c r="D253" s="111">
        <f t="shared" si="156"/>
        <v>4553.1058117077828</v>
      </c>
      <c r="E253" s="111">
        <f t="shared" si="156"/>
        <v>6649.9263057067546</v>
      </c>
      <c r="F253" s="111">
        <f t="shared" si="156"/>
        <v>8866.5684076090092</v>
      </c>
      <c r="G253" s="111">
        <f t="shared" si="156"/>
        <v>11083.210509511257</v>
      </c>
      <c r="H253" s="111">
        <f t="shared" si="156"/>
        <v>13152.733485179946</v>
      </c>
      <c r="I253" s="111">
        <f t="shared" si="156"/>
        <v>15344.855732709933</v>
      </c>
      <c r="J253" s="111">
        <f t="shared" si="156"/>
        <v>17536.977980239924</v>
      </c>
      <c r="K253" s="111">
        <f t="shared" si="156"/>
        <v>19729.100227769912</v>
      </c>
      <c r="L253" s="64"/>
      <c r="M253" s="64"/>
      <c r="N253" s="64"/>
      <c r="P253" s="63"/>
      <c r="Q253" s="63"/>
      <c r="R253" s="63"/>
      <c r="U253" s="64"/>
      <c r="V253" s="64"/>
      <c r="W253" s="64"/>
      <c r="Y253" s="63"/>
      <c r="Z253" s="63"/>
      <c r="AA253" s="63"/>
    </row>
    <row r="254" spans="1:27" s="65" customFormat="1">
      <c r="A254" s="107" t="s">
        <v>12</v>
      </c>
      <c r="B254" s="110"/>
      <c r="C254" s="111">
        <f t="shared" ref="C254:K254" si="157">SUM(C248:C253)</f>
        <v>5533.4840350789145</v>
      </c>
      <c r="D254" s="111">
        <f t="shared" si="157"/>
        <v>11066.968070157829</v>
      </c>
      <c r="E254" s="111">
        <f t="shared" si="157"/>
        <v>16420.719693381827</v>
      </c>
      <c r="F254" s="111">
        <f t="shared" si="157"/>
        <v>21894.292924509104</v>
      </c>
      <c r="G254" s="111">
        <f t="shared" si="157"/>
        <v>27367.866155636373</v>
      </c>
      <c r="H254" s="111">
        <f t="shared" si="157"/>
        <v>32694.320260530087</v>
      </c>
      <c r="I254" s="111">
        <f t="shared" si="157"/>
        <v>38143.373637285098</v>
      </c>
      <c r="J254" s="111">
        <f t="shared" si="157"/>
        <v>43592.427014040113</v>
      </c>
      <c r="K254" s="111">
        <f t="shared" si="157"/>
        <v>49041.480390795121</v>
      </c>
      <c r="L254" s="64"/>
      <c r="M254" s="64"/>
      <c r="N254" s="64"/>
      <c r="P254" s="63"/>
      <c r="Q254" s="63"/>
      <c r="R254" s="63"/>
      <c r="U254" s="64"/>
      <c r="V254" s="64"/>
      <c r="W254" s="64"/>
      <c r="Y254" s="63"/>
      <c r="Z254" s="63"/>
      <c r="AA254" s="63"/>
    </row>
    <row r="255" spans="1:27" s="65" customFormat="1">
      <c r="A255" s="107" t="s">
        <v>32</v>
      </c>
      <c r="B255" s="110"/>
      <c r="C255" s="122">
        <f t="shared" ref="C255:K255" si="158">(99.94-5.257*C198+0.1755*C198*C198-0.06767*$D$5-0.002662*C195*C198)/100*$G$5</f>
        <v>241209.12880120828</v>
      </c>
      <c r="D255" s="122">
        <f t="shared" si="158"/>
        <v>230368.95551841662</v>
      </c>
      <c r="E255" s="122">
        <f t="shared" si="158"/>
        <v>220869.38249392636</v>
      </c>
      <c r="F255" s="122">
        <f t="shared" si="158"/>
        <v>210476.07596390185</v>
      </c>
      <c r="G255" s="122">
        <f t="shared" si="158"/>
        <v>200082.76943387734</v>
      </c>
      <c r="H255" s="122">
        <f t="shared" si="158"/>
        <v>190696.6612996303</v>
      </c>
      <c r="I255" s="122">
        <f t="shared" si="158"/>
        <v>191195.14242317624</v>
      </c>
      <c r="J255" s="122">
        <f t="shared" si="158"/>
        <v>200412.11081859493</v>
      </c>
      <c r="K255" s="122">
        <f t="shared" si="158"/>
        <v>209590.4239456472</v>
      </c>
      <c r="L255" s="64"/>
      <c r="M255" s="64"/>
      <c r="N255" s="64"/>
      <c r="P255" s="63"/>
      <c r="Q255" s="63"/>
      <c r="R255" s="63"/>
      <c r="U255" s="64"/>
      <c r="V255" s="64"/>
      <c r="W255" s="64"/>
      <c r="Y255" s="63"/>
      <c r="Z255" s="63"/>
      <c r="AA255" s="63"/>
    </row>
    <row r="256" spans="1:27" s="65" customFormat="1">
      <c r="A256" s="107" t="s">
        <v>33</v>
      </c>
      <c r="B256" s="110"/>
      <c r="C256" s="111">
        <f t="shared" ref="C256:K256" si="159">+C126</f>
        <v>18458.551774549484</v>
      </c>
      <c r="D256" s="111">
        <f t="shared" si="159"/>
        <v>18458.551774549484</v>
      </c>
      <c r="E256" s="111">
        <f t="shared" si="159"/>
        <v>18458.551774549484</v>
      </c>
      <c r="F256" s="111">
        <f t="shared" si="159"/>
        <v>18458.551774549484</v>
      </c>
      <c r="G256" s="111">
        <f t="shared" si="159"/>
        <v>18458.551774549484</v>
      </c>
      <c r="H256" s="111">
        <f t="shared" si="159"/>
        <v>18458.551774549484</v>
      </c>
      <c r="I256" s="111">
        <f t="shared" si="159"/>
        <v>18458.551774549484</v>
      </c>
      <c r="J256" s="111">
        <f t="shared" si="159"/>
        <v>18458.551774549484</v>
      </c>
      <c r="K256" s="111">
        <f t="shared" si="159"/>
        <v>18458.551774549484</v>
      </c>
      <c r="L256" s="64"/>
      <c r="M256" s="64"/>
      <c r="N256" s="64"/>
      <c r="P256" s="63"/>
      <c r="Q256" s="63"/>
      <c r="R256" s="63"/>
      <c r="U256" s="64"/>
      <c r="V256" s="64"/>
      <c r="W256" s="64"/>
      <c r="Y256" s="63"/>
      <c r="Z256" s="63"/>
      <c r="AA256" s="63"/>
    </row>
    <row r="257" spans="1:45" s="65" customFormat="1">
      <c r="A257" s="107" t="s">
        <v>63</v>
      </c>
      <c r="B257" s="110"/>
      <c r="C257" s="118">
        <f t="shared" ref="C257:K257" si="160">+(($H$5-C255)/C198+($H$5+C255)/2*$D$21)/C195*(C194-C188*$D$19)*2</f>
        <v>73193.826909139505</v>
      </c>
      <c r="D257" s="118">
        <f t="shared" si="160"/>
        <v>92412.614378169048</v>
      </c>
      <c r="E257" s="118">
        <f t="shared" si="160"/>
        <v>102400.25903498723</v>
      </c>
      <c r="F257" s="118">
        <f t="shared" si="160"/>
        <v>108358.14351053085</v>
      </c>
      <c r="G257" s="118">
        <f t="shared" si="160"/>
        <v>112579.98135772128</v>
      </c>
      <c r="H257" s="118">
        <f t="shared" si="160"/>
        <v>116154.27124507655</v>
      </c>
      <c r="I257" s="118">
        <f t="shared" si="160"/>
        <v>124819.61201470281</v>
      </c>
      <c r="J257" s="118">
        <f t="shared" si="160"/>
        <v>137465.3041439213</v>
      </c>
      <c r="K257" s="118">
        <f t="shared" si="160"/>
        <v>149714.19139344394</v>
      </c>
      <c r="L257" s="64"/>
      <c r="M257" s="64"/>
      <c r="N257" s="64"/>
      <c r="P257" s="63"/>
      <c r="Q257" s="63"/>
      <c r="R257" s="63"/>
      <c r="U257" s="64"/>
      <c r="V257" s="64"/>
      <c r="W257" s="64"/>
      <c r="Y257" s="63"/>
      <c r="Z257" s="63"/>
      <c r="AA257" s="63"/>
    </row>
    <row r="258" spans="1:45" s="65" customFormat="1">
      <c r="A258" s="107" t="s">
        <v>26</v>
      </c>
      <c r="B258" s="110"/>
      <c r="C258" s="111">
        <f t="shared" ref="C258:K260" si="161">+C128</f>
        <v>54084.660917187684</v>
      </c>
      <c r="D258" s="111">
        <f t="shared" si="161"/>
        <v>54084.660917187684</v>
      </c>
      <c r="E258" s="111">
        <f t="shared" si="161"/>
        <v>54084.660917187684</v>
      </c>
      <c r="F258" s="111">
        <f t="shared" si="161"/>
        <v>54084.660917187684</v>
      </c>
      <c r="G258" s="111">
        <f t="shared" si="161"/>
        <v>54084.660917187684</v>
      </c>
      <c r="H258" s="111">
        <f t="shared" si="161"/>
        <v>54084.660917187684</v>
      </c>
      <c r="I258" s="111">
        <f t="shared" si="161"/>
        <v>54084.660917187684</v>
      </c>
      <c r="J258" s="111">
        <f t="shared" si="161"/>
        <v>54084.660917187684</v>
      </c>
      <c r="K258" s="111">
        <f t="shared" si="161"/>
        <v>54084.660917187684</v>
      </c>
      <c r="L258" s="64"/>
      <c r="M258" s="64"/>
      <c r="N258" s="64"/>
      <c r="P258" s="63"/>
      <c r="Q258" s="63"/>
      <c r="R258" s="63"/>
      <c r="U258" s="64"/>
      <c r="V258" s="64"/>
      <c r="W258" s="64"/>
      <c r="Y258" s="63"/>
      <c r="Z258" s="63"/>
      <c r="AA258" s="63"/>
    </row>
    <row r="259" spans="1:45" s="65" customFormat="1">
      <c r="A259" s="107" t="s">
        <v>31</v>
      </c>
      <c r="B259" s="110"/>
      <c r="C259" s="111">
        <f t="shared" si="161"/>
        <v>14543.292421838205</v>
      </c>
      <c r="D259" s="111">
        <f t="shared" si="161"/>
        <v>29086.58484367641</v>
      </c>
      <c r="E259" s="111">
        <f t="shared" si="161"/>
        <v>42481.693528353484</v>
      </c>
      <c r="F259" s="111">
        <f t="shared" si="161"/>
        <v>56642.258037804662</v>
      </c>
      <c r="G259" s="111">
        <f t="shared" si="161"/>
        <v>70802.822547255812</v>
      </c>
      <c r="H259" s="111">
        <f t="shared" si="161"/>
        <v>84023.54662156562</v>
      </c>
      <c r="I259" s="111">
        <f t="shared" si="161"/>
        <v>98027.471058493189</v>
      </c>
      <c r="J259" s="111">
        <f t="shared" si="161"/>
        <v>112031.3954954208</v>
      </c>
      <c r="K259" s="111">
        <f t="shared" si="161"/>
        <v>126035.31993234837</v>
      </c>
      <c r="L259" s="64"/>
      <c r="M259" s="64"/>
      <c r="N259" s="64"/>
      <c r="P259" s="63"/>
      <c r="Q259" s="63"/>
      <c r="R259" s="63"/>
      <c r="U259" s="64"/>
      <c r="V259" s="64"/>
      <c r="W259" s="64"/>
      <c r="Y259" s="63"/>
      <c r="Z259" s="63"/>
      <c r="AA259" s="63"/>
    </row>
    <row r="260" spans="1:45" s="65" customFormat="1">
      <c r="A260" s="107" t="s">
        <v>30</v>
      </c>
      <c r="B260" s="110"/>
      <c r="C260" s="111">
        <f t="shared" si="161"/>
        <v>5686.6510798990739</v>
      </c>
      <c r="D260" s="111">
        <f t="shared" si="161"/>
        <v>11373.302159798148</v>
      </c>
      <c r="E260" s="111">
        <f t="shared" si="161"/>
        <v>16610.995734102031</v>
      </c>
      <c r="F260" s="111">
        <f t="shared" si="161"/>
        <v>22147.994312136048</v>
      </c>
      <c r="G260" s="111">
        <f t="shared" si="161"/>
        <v>27684.992890170055</v>
      </c>
      <c r="H260" s="111">
        <f t="shared" si="161"/>
        <v>32854.499398980173</v>
      </c>
      <c r="I260" s="111">
        <f t="shared" si="161"/>
        <v>38330.249298810202</v>
      </c>
      <c r="J260" s="111">
        <f t="shared" si="161"/>
        <v>43805.999198640238</v>
      </c>
      <c r="K260" s="111">
        <f t="shared" si="161"/>
        <v>49281.749098470253</v>
      </c>
      <c r="L260" s="64"/>
      <c r="M260" s="64"/>
      <c r="N260" s="64"/>
      <c r="P260" s="63"/>
      <c r="Q260" s="63"/>
      <c r="R260" s="63"/>
      <c r="U260" s="64"/>
      <c r="V260" s="64"/>
      <c r="W260" s="64"/>
      <c r="Y260" s="63"/>
      <c r="Z260" s="63"/>
      <c r="AA260" s="63"/>
    </row>
    <row r="261" spans="1:45" s="65" customFormat="1">
      <c r="A261" s="107" t="s">
        <v>13</v>
      </c>
      <c r="B261" s="110"/>
      <c r="C261" s="123">
        <f t="shared" ref="C261:K261" si="162">C201/100*$D$23*$D$17*C246</f>
        <v>48394.41512667168</v>
      </c>
      <c r="D261" s="123">
        <f t="shared" si="162"/>
        <v>115145.90326754539</v>
      </c>
      <c r="E261" s="123">
        <f t="shared" si="162"/>
        <v>198414.67087356097</v>
      </c>
      <c r="F261" s="123">
        <f t="shared" si="162"/>
        <v>302912.8384647863</v>
      </c>
      <c r="G261" s="123">
        <f t="shared" si="162"/>
        <v>428013.37803936342</v>
      </c>
      <c r="H261" s="123">
        <f t="shared" si="162"/>
        <v>571231.55576823535</v>
      </c>
      <c r="I261" s="123">
        <f t="shared" si="162"/>
        <v>739088.73106613371</v>
      </c>
      <c r="J261" s="123">
        <f t="shared" si="162"/>
        <v>929979.43665065884</v>
      </c>
      <c r="K261" s="123">
        <f t="shared" si="162"/>
        <v>1144757.1125218102</v>
      </c>
      <c r="L261" s="30"/>
      <c r="M261" s="30"/>
      <c r="N261" s="30"/>
      <c r="P261" s="63"/>
      <c r="Q261" s="63"/>
      <c r="R261" s="63"/>
      <c r="U261" s="64"/>
      <c r="V261" s="64"/>
      <c r="W261" s="64"/>
      <c r="Y261" s="63"/>
      <c r="Z261" s="63"/>
      <c r="AA261" s="63"/>
    </row>
    <row r="262" spans="1:45" s="65" customFormat="1">
      <c r="A262" s="107" t="s">
        <v>38</v>
      </c>
      <c r="B262" s="124"/>
      <c r="C262" s="111">
        <f t="shared" ref="C262:K262" si="163">+C246*$D$23*$D$13/100</f>
        <v>0</v>
      </c>
      <c r="D262" s="111">
        <f t="shared" si="163"/>
        <v>0</v>
      </c>
      <c r="E262" s="111">
        <f t="shared" si="163"/>
        <v>0</v>
      </c>
      <c r="F262" s="111">
        <f t="shared" si="163"/>
        <v>0</v>
      </c>
      <c r="G262" s="112">
        <f t="shared" si="163"/>
        <v>0</v>
      </c>
      <c r="H262" s="111">
        <f t="shared" si="163"/>
        <v>0</v>
      </c>
      <c r="I262" s="111">
        <f t="shared" si="163"/>
        <v>0</v>
      </c>
      <c r="J262" s="111">
        <f t="shared" si="163"/>
        <v>0</v>
      </c>
      <c r="K262" s="111">
        <f t="shared" si="163"/>
        <v>0</v>
      </c>
      <c r="L262" s="64"/>
      <c r="M262" s="64"/>
      <c r="N262" s="64"/>
      <c r="P262" s="63"/>
      <c r="Q262" s="63"/>
      <c r="R262" s="63"/>
      <c r="U262" s="64"/>
      <c r="V262" s="64"/>
      <c r="W262" s="64"/>
      <c r="Y262" s="63"/>
      <c r="Z262" s="63"/>
      <c r="AA262" s="63"/>
    </row>
    <row r="263" spans="1:45">
      <c r="A263" s="107" t="s">
        <v>78</v>
      </c>
      <c r="B263" s="124"/>
      <c r="C263" s="111">
        <f t="shared" ref="C263:K263" si="164">+C257+C258+C260+C254</f>
        <v>138498.62294130516</v>
      </c>
      <c r="D263" s="111">
        <f t="shared" si="164"/>
        <v>168937.54552531271</v>
      </c>
      <c r="E263" s="111">
        <f t="shared" si="164"/>
        <v>189516.63537965878</v>
      </c>
      <c r="F263" s="111">
        <f t="shared" si="164"/>
        <v>206485.09166436369</v>
      </c>
      <c r="G263" s="111">
        <f t="shared" si="164"/>
        <v>221717.50132071538</v>
      </c>
      <c r="H263" s="111">
        <f t="shared" si="164"/>
        <v>235787.75182177449</v>
      </c>
      <c r="I263" s="111">
        <f t="shared" si="164"/>
        <v>255377.89586798579</v>
      </c>
      <c r="J263" s="111">
        <f t="shared" si="164"/>
        <v>278948.39127378934</v>
      </c>
      <c r="K263" s="111">
        <f t="shared" si="164"/>
        <v>302122.08179989702</v>
      </c>
      <c r="L263" s="64"/>
      <c r="M263" s="64"/>
      <c r="N263" s="64"/>
      <c r="O263" s="7"/>
      <c r="Q263" s="8"/>
      <c r="R263" s="8"/>
      <c r="S263" s="7"/>
      <c r="T263" s="7"/>
      <c r="U263" s="30"/>
      <c r="V263" s="30"/>
      <c r="W263" s="30"/>
      <c r="X263" s="7"/>
      <c r="Z263" s="8"/>
      <c r="AA263" s="8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</row>
    <row r="264" spans="1:45" s="65" customFormat="1">
      <c r="A264" s="107" t="s">
        <v>64</v>
      </c>
      <c r="B264" s="125" t="s">
        <v>86</v>
      </c>
      <c r="C264" s="126">
        <f t="shared" ref="C264:K264" si="165">C254+C257+C258+C259+C260+C261+C262</f>
        <v>201436.3304898151</v>
      </c>
      <c r="D264" s="126">
        <f t="shared" si="165"/>
        <v>313170.03363653453</v>
      </c>
      <c r="E264" s="126">
        <f t="shared" si="165"/>
        <v>430412.99978157319</v>
      </c>
      <c r="F264" s="126">
        <f t="shared" si="165"/>
        <v>566040.18816695455</v>
      </c>
      <c r="G264" s="126">
        <f t="shared" si="165"/>
        <v>720533.70190733462</v>
      </c>
      <c r="H264" s="126">
        <f t="shared" si="165"/>
        <v>891042.85421157547</v>
      </c>
      <c r="I264" s="126">
        <f t="shared" si="165"/>
        <v>1092494.0979926127</v>
      </c>
      <c r="J264" s="126">
        <f t="shared" si="165"/>
        <v>1320959.2234198689</v>
      </c>
      <c r="K264" s="126">
        <f t="shared" si="165"/>
        <v>1572914.5142540557</v>
      </c>
      <c r="L264" s="64"/>
      <c r="M264" s="64"/>
      <c r="N264" s="64"/>
      <c r="P264" s="63"/>
      <c r="Q264" s="63"/>
      <c r="R264" s="63"/>
      <c r="U264" s="64"/>
      <c r="V264" s="64"/>
      <c r="W264" s="64"/>
      <c r="Y264" s="63"/>
      <c r="Z264" s="63"/>
      <c r="AA264" s="63"/>
    </row>
    <row r="265" spans="1:45" s="65" customFormat="1">
      <c r="A265" s="107" t="s">
        <v>3</v>
      </c>
      <c r="B265" s="110"/>
      <c r="C265" s="111"/>
      <c r="D265" s="111"/>
      <c r="E265" s="111"/>
      <c r="F265" s="111"/>
      <c r="G265" s="112"/>
      <c r="H265" s="111"/>
      <c r="I265" s="111"/>
      <c r="J265" s="111"/>
      <c r="K265" s="111"/>
      <c r="L265" s="64"/>
      <c r="M265" s="64"/>
      <c r="N265" s="64"/>
      <c r="P265" s="63"/>
      <c r="Q265" s="63"/>
      <c r="R265" s="63"/>
      <c r="U265" s="64"/>
      <c r="V265" s="64"/>
      <c r="W265" s="64"/>
      <c r="Y265" s="63"/>
      <c r="Z265" s="63"/>
      <c r="AA265" s="63"/>
    </row>
    <row r="266" spans="1:45" s="65" customFormat="1">
      <c r="A266" s="107" t="s">
        <v>4</v>
      </c>
      <c r="B266" s="110"/>
      <c r="C266" s="111">
        <f t="shared" ref="C266:K266" si="166">+C136</f>
        <v>200</v>
      </c>
      <c r="D266" s="111">
        <f t="shared" si="166"/>
        <v>400</v>
      </c>
      <c r="E266" s="111">
        <f t="shared" si="166"/>
        <v>600</v>
      </c>
      <c r="F266" s="111">
        <f t="shared" si="166"/>
        <v>800</v>
      </c>
      <c r="G266" s="112">
        <f t="shared" si="166"/>
        <v>1000</v>
      </c>
      <c r="H266" s="111">
        <f t="shared" si="166"/>
        <v>1200</v>
      </c>
      <c r="I266" s="111">
        <f t="shared" si="166"/>
        <v>1400</v>
      </c>
      <c r="J266" s="111">
        <f t="shared" si="166"/>
        <v>1600</v>
      </c>
      <c r="K266" s="111">
        <f t="shared" si="166"/>
        <v>1800</v>
      </c>
      <c r="L266" s="64"/>
      <c r="M266" s="64"/>
      <c r="N266" s="64"/>
      <c r="P266" s="63"/>
      <c r="Q266" s="63"/>
      <c r="R266" s="63"/>
      <c r="U266" s="64"/>
      <c r="V266" s="64"/>
      <c r="W266" s="64"/>
      <c r="Y266" s="63"/>
      <c r="Z266" s="63"/>
      <c r="AA266" s="63"/>
    </row>
    <row r="267" spans="1:45" s="65" customFormat="1">
      <c r="A267" s="107"/>
      <c r="B267" s="110"/>
      <c r="C267" s="111"/>
      <c r="D267" s="111"/>
      <c r="E267" s="111"/>
      <c r="F267" s="111"/>
      <c r="G267" s="112"/>
      <c r="H267" s="111"/>
      <c r="I267" s="111"/>
      <c r="J267" s="111"/>
      <c r="K267" s="111"/>
      <c r="L267" s="64"/>
      <c r="M267" s="64"/>
      <c r="N267" s="64"/>
      <c r="P267" s="63"/>
      <c r="Q267" s="63"/>
      <c r="R267" s="63"/>
      <c r="U267" s="64"/>
      <c r="V267" s="64"/>
      <c r="W267" s="64"/>
      <c r="Y267" s="63"/>
      <c r="Z267" s="63"/>
      <c r="AA267" s="63"/>
    </row>
    <row r="268" spans="1:45" s="65" customFormat="1">
      <c r="A268" s="107" t="str">
        <f t="shared" ref="A268:A272" si="167">+A228</f>
        <v>Vedlikehold plog</v>
      </c>
      <c r="B268" s="110"/>
      <c r="C268" s="111">
        <f t="shared" ref="C268:K269" si="168">+C138</f>
        <v>0</v>
      </c>
      <c r="D268" s="111">
        <f t="shared" si="168"/>
        <v>0</v>
      </c>
      <c r="E268" s="111">
        <f t="shared" si="168"/>
        <v>0</v>
      </c>
      <c r="F268" s="111">
        <f t="shared" si="168"/>
        <v>0</v>
      </c>
      <c r="G268" s="112">
        <f t="shared" si="168"/>
        <v>0</v>
      </c>
      <c r="H268" s="111">
        <f t="shared" si="168"/>
        <v>0</v>
      </c>
      <c r="I268" s="111">
        <f t="shared" si="168"/>
        <v>0</v>
      </c>
      <c r="J268" s="111">
        <f t="shared" si="168"/>
        <v>0</v>
      </c>
      <c r="K268" s="111">
        <f t="shared" si="168"/>
        <v>0</v>
      </c>
      <c r="L268" s="64"/>
      <c r="M268" s="64"/>
      <c r="N268" s="64"/>
      <c r="P268" s="63"/>
      <c r="Q268" s="63"/>
      <c r="R268" s="63"/>
      <c r="U268" s="64"/>
      <c r="V268" s="64"/>
      <c r="W268" s="64"/>
      <c r="Y268" s="63"/>
      <c r="Z268" s="63"/>
      <c r="AA268" s="63"/>
    </row>
    <row r="269" spans="1:45" s="65" customFormat="1">
      <c r="A269" s="107" t="str">
        <f t="shared" si="167"/>
        <v>Vedlikehold slodd</v>
      </c>
      <c r="B269" s="110"/>
      <c r="C269" s="111">
        <f t="shared" si="168"/>
        <v>104.52961672473869</v>
      </c>
      <c r="D269" s="111">
        <f t="shared" si="168"/>
        <v>209.05923344947738</v>
      </c>
      <c r="E269" s="111">
        <f t="shared" si="168"/>
        <v>313.58885017421608</v>
      </c>
      <c r="F269" s="111">
        <f t="shared" si="168"/>
        <v>418.11846689895475</v>
      </c>
      <c r="G269" s="112">
        <f t="shared" si="168"/>
        <v>522.64808362369342</v>
      </c>
      <c r="H269" s="111">
        <f t="shared" si="168"/>
        <v>627.17770034843215</v>
      </c>
      <c r="I269" s="111">
        <f t="shared" si="168"/>
        <v>731.70731707317077</v>
      </c>
      <c r="J269" s="111">
        <f t="shared" si="168"/>
        <v>836.2369337979095</v>
      </c>
      <c r="K269" s="111">
        <f t="shared" si="168"/>
        <v>940.76655052264812</v>
      </c>
      <c r="L269" s="64"/>
      <c r="M269" s="64"/>
      <c r="N269" s="64"/>
      <c r="P269" s="63"/>
      <c r="Q269" s="63"/>
      <c r="R269" s="63"/>
      <c r="U269" s="64"/>
      <c r="V269" s="64"/>
      <c r="W269" s="64"/>
      <c r="Y269" s="63"/>
      <c r="Z269" s="63"/>
      <c r="AA269" s="63"/>
    </row>
    <row r="270" spans="1:45" s="65" customFormat="1">
      <c r="A270" s="107" t="str">
        <f t="shared" si="167"/>
        <v>Vedlikehold harv</v>
      </c>
      <c r="B270" s="110"/>
      <c r="C270" s="111">
        <v>200</v>
      </c>
      <c r="D270" s="111">
        <v>400</v>
      </c>
      <c r="E270" s="111">
        <v>600</v>
      </c>
      <c r="F270" s="111">
        <v>800</v>
      </c>
      <c r="G270" s="112">
        <v>1000</v>
      </c>
      <c r="H270" s="111">
        <v>1200</v>
      </c>
      <c r="I270" s="111">
        <v>1400</v>
      </c>
      <c r="J270" s="111">
        <v>1600</v>
      </c>
      <c r="K270" s="111">
        <v>1800</v>
      </c>
      <c r="L270" s="64"/>
      <c r="M270" s="64"/>
      <c r="N270" s="64"/>
      <c r="P270" s="63"/>
      <c r="Q270" s="63"/>
      <c r="R270" s="63"/>
      <c r="U270" s="64"/>
      <c r="V270" s="64"/>
      <c r="W270" s="64"/>
      <c r="Y270" s="63"/>
      <c r="Z270" s="63"/>
      <c r="AA270" s="63"/>
    </row>
    <row r="271" spans="1:45" s="65" customFormat="1">
      <c r="A271" s="107" t="str">
        <f t="shared" si="167"/>
        <v>Vedlikehold såmaskin</v>
      </c>
      <c r="B271" s="110"/>
      <c r="C271" s="111">
        <f t="shared" ref="C271:K273" si="169">+C141</f>
        <v>2712.8597222222224</v>
      </c>
      <c r="D271" s="111">
        <f t="shared" si="169"/>
        <v>5425.7194444444449</v>
      </c>
      <c r="E271" s="111">
        <f t="shared" si="169"/>
        <v>8138.5791666666673</v>
      </c>
      <c r="F271" s="111">
        <f t="shared" si="169"/>
        <v>10851.43888888889</v>
      </c>
      <c r="G271" s="112">
        <f t="shared" si="169"/>
        <v>13564.298611111111</v>
      </c>
      <c r="H271" s="111">
        <f t="shared" si="169"/>
        <v>16277.158333333335</v>
      </c>
      <c r="I271" s="111">
        <f t="shared" si="169"/>
        <v>18990.01805555556</v>
      </c>
      <c r="J271" s="111">
        <f t="shared" si="169"/>
        <v>21702.87777777778</v>
      </c>
      <c r="K271" s="111">
        <f t="shared" si="169"/>
        <v>24415.737500000003</v>
      </c>
      <c r="L271" s="64"/>
      <c r="M271" s="64"/>
      <c r="N271" s="64"/>
      <c r="P271" s="63"/>
      <c r="Q271" s="63"/>
      <c r="R271" s="63"/>
      <c r="U271" s="64"/>
      <c r="V271" s="64"/>
      <c r="W271" s="64"/>
      <c r="Y271" s="63"/>
      <c r="Z271" s="63"/>
      <c r="AA271" s="63"/>
    </row>
    <row r="272" spans="1:45" s="65" customFormat="1">
      <c r="A272" s="107" t="str">
        <f t="shared" si="167"/>
        <v>Vedlikehold trommel</v>
      </c>
      <c r="B272" s="110"/>
      <c r="C272" s="111">
        <f t="shared" si="169"/>
        <v>337.5288888888889</v>
      </c>
      <c r="D272" s="111">
        <f t="shared" si="169"/>
        <v>675.0577777777778</v>
      </c>
      <c r="E272" s="111">
        <f t="shared" si="169"/>
        <v>1012.5866666666667</v>
      </c>
      <c r="F272" s="111">
        <f t="shared" si="169"/>
        <v>1350.1155555555556</v>
      </c>
      <c r="G272" s="112">
        <f t="shared" si="169"/>
        <v>1687.6444444444444</v>
      </c>
      <c r="H272" s="111">
        <f t="shared" si="169"/>
        <v>2025.1733333333334</v>
      </c>
      <c r="I272" s="111">
        <f t="shared" si="169"/>
        <v>2362.7022222222222</v>
      </c>
      <c r="J272" s="111">
        <f t="shared" si="169"/>
        <v>2700.2311111111112</v>
      </c>
      <c r="K272" s="111">
        <f t="shared" si="169"/>
        <v>3037.76</v>
      </c>
      <c r="L272" s="64"/>
      <c r="M272" s="64"/>
      <c r="N272" s="64"/>
      <c r="P272" s="63"/>
      <c r="Q272" s="63"/>
      <c r="R272" s="63"/>
      <c r="U272" s="64"/>
      <c r="V272" s="64"/>
      <c r="W272" s="64"/>
      <c r="Y272" s="63"/>
      <c r="Z272" s="63"/>
      <c r="AA272" s="63"/>
    </row>
    <row r="273" spans="1:45" s="65" customFormat="1">
      <c r="A273" s="107" t="s">
        <v>62</v>
      </c>
      <c r="B273" s="110"/>
      <c r="C273" s="111">
        <f t="shared" si="169"/>
        <v>3034.6157248612517</v>
      </c>
      <c r="D273" s="111">
        <f t="shared" si="169"/>
        <v>6069.2314497225034</v>
      </c>
      <c r="E273" s="111">
        <f t="shared" si="169"/>
        <v>8798.1742517058301</v>
      </c>
      <c r="F273" s="111">
        <f t="shared" si="169"/>
        <v>11730.899002274442</v>
      </c>
      <c r="G273" s="112">
        <f t="shared" si="169"/>
        <v>14663.623752843048</v>
      </c>
      <c r="H273" s="111">
        <f t="shared" si="169"/>
        <v>17345.968153934875</v>
      </c>
      <c r="I273" s="111">
        <f t="shared" si="169"/>
        <v>20236.962846257356</v>
      </c>
      <c r="J273" s="111">
        <f t="shared" si="169"/>
        <v>23127.957538579842</v>
      </c>
      <c r="K273" s="111">
        <f t="shared" si="169"/>
        <v>26018.952230902309</v>
      </c>
      <c r="L273" s="64"/>
      <c r="M273" s="64"/>
      <c r="N273" s="64"/>
      <c r="P273" s="63"/>
      <c r="Q273" s="63"/>
      <c r="R273" s="63"/>
      <c r="U273" s="64"/>
      <c r="V273" s="64"/>
      <c r="W273" s="64"/>
      <c r="Y273" s="63"/>
      <c r="Z273" s="63"/>
      <c r="AA273" s="63"/>
    </row>
    <row r="274" spans="1:45" s="65" customFormat="1">
      <c r="A274" s="107" t="s">
        <v>12</v>
      </c>
      <c r="B274" s="110"/>
      <c r="C274" s="111">
        <f t="shared" ref="C274:K274" si="170">SUM(C268:C273)</f>
        <v>6389.533952697102</v>
      </c>
      <c r="D274" s="111">
        <f t="shared" si="170"/>
        <v>12779.067905394204</v>
      </c>
      <c r="E274" s="111">
        <f t="shared" si="170"/>
        <v>18862.928935213378</v>
      </c>
      <c r="F274" s="111">
        <f t="shared" si="170"/>
        <v>25150.571913617845</v>
      </c>
      <c r="G274" s="112">
        <f t="shared" si="170"/>
        <v>31438.214892022297</v>
      </c>
      <c r="H274" s="111">
        <f t="shared" si="170"/>
        <v>37475.477520949978</v>
      </c>
      <c r="I274" s="111">
        <f t="shared" si="170"/>
        <v>43721.390441108306</v>
      </c>
      <c r="J274" s="111">
        <f t="shared" si="170"/>
        <v>49967.303361266648</v>
      </c>
      <c r="K274" s="111">
        <f t="shared" si="170"/>
        <v>56213.21628142496</v>
      </c>
      <c r="L274" s="64"/>
      <c r="M274" s="64"/>
      <c r="N274" s="64"/>
      <c r="P274" s="63"/>
      <c r="Q274" s="63"/>
      <c r="R274" s="63"/>
      <c r="U274" s="64"/>
      <c r="V274" s="64"/>
      <c r="W274" s="64"/>
      <c r="Y274" s="63"/>
      <c r="Z274" s="63"/>
      <c r="AA274" s="63"/>
    </row>
    <row r="275" spans="1:45" s="65" customFormat="1">
      <c r="A275" s="107" t="s">
        <v>32</v>
      </c>
      <c r="B275" s="110"/>
      <c r="C275" s="122">
        <f t="shared" ref="C275:K275" si="171">(99.94-5.257*C218+0.1755*C218*C218-0.06767*$E$5-0.002662*C215*C218)/100*$H$5</f>
        <v>450529.15848565585</v>
      </c>
      <c r="D275" s="122">
        <f t="shared" si="171"/>
        <v>436691.00214331172</v>
      </c>
      <c r="E275" s="122">
        <f t="shared" si="171"/>
        <v>424441.36480316229</v>
      </c>
      <c r="F275" s="122">
        <f t="shared" si="171"/>
        <v>411132.71479488298</v>
      </c>
      <c r="G275" s="122">
        <f t="shared" si="171"/>
        <v>397824.06478660379</v>
      </c>
      <c r="H275" s="122">
        <f t="shared" si="171"/>
        <v>385723.9171507326</v>
      </c>
      <c r="I275" s="122">
        <f t="shared" si="171"/>
        <v>372616.6842045213</v>
      </c>
      <c r="J275" s="122">
        <f t="shared" si="171"/>
        <v>359509.45125831006</v>
      </c>
      <c r="K275" s="122">
        <f t="shared" si="171"/>
        <v>346402.21831209882</v>
      </c>
      <c r="L275" s="71"/>
      <c r="M275" s="71"/>
      <c r="N275" s="71"/>
      <c r="P275" s="63"/>
      <c r="Q275" s="63"/>
      <c r="R275" s="63"/>
      <c r="U275" s="64"/>
      <c r="V275" s="64"/>
      <c r="W275" s="64"/>
      <c r="Y275" s="63"/>
      <c r="Z275" s="63"/>
      <c r="AA275" s="63"/>
    </row>
    <row r="276" spans="1:45" s="65" customFormat="1">
      <c r="A276" s="107" t="s">
        <v>33</v>
      </c>
      <c r="B276" s="110"/>
      <c r="C276" s="111">
        <f t="shared" ref="C276:K276" si="172">+C146</f>
        <v>39090.490339490083</v>
      </c>
      <c r="D276" s="111">
        <f t="shared" si="172"/>
        <v>39090.490339490083</v>
      </c>
      <c r="E276" s="111">
        <f t="shared" si="172"/>
        <v>39090.490339490083</v>
      </c>
      <c r="F276" s="111">
        <f t="shared" si="172"/>
        <v>39090.490339490083</v>
      </c>
      <c r="G276" s="112">
        <f t="shared" si="172"/>
        <v>39090.490339490083</v>
      </c>
      <c r="H276" s="111">
        <f t="shared" si="172"/>
        <v>39090.490339490083</v>
      </c>
      <c r="I276" s="111">
        <f t="shared" si="172"/>
        <v>39090.490339490083</v>
      </c>
      <c r="J276" s="111">
        <f t="shared" si="172"/>
        <v>39090.490339490083</v>
      </c>
      <c r="K276" s="111">
        <f t="shared" si="172"/>
        <v>39090.490339490083</v>
      </c>
      <c r="L276" s="64"/>
      <c r="M276" s="64"/>
      <c r="N276" s="64"/>
      <c r="P276" s="63"/>
      <c r="Q276" s="63"/>
      <c r="R276" s="63"/>
      <c r="U276" s="64"/>
      <c r="V276" s="64"/>
      <c r="W276" s="64"/>
      <c r="Y276" s="63"/>
      <c r="Z276" s="63"/>
      <c r="AA276" s="63"/>
    </row>
    <row r="277" spans="1:45" s="72" customFormat="1">
      <c r="A277" s="107" t="s">
        <v>63</v>
      </c>
      <c r="B277" s="127"/>
      <c r="C277" s="118">
        <f t="shared" ref="C277:K277" si="173">+(($I$5-C275)/C218+($I$5+C275)/2*$D$21)/C215*(C214-C208*$D$19)*2</f>
        <v>88842.370344454903</v>
      </c>
      <c r="D277" s="118">
        <f t="shared" si="173"/>
        <v>120860.09389580175</v>
      </c>
      <c r="E277" s="118">
        <f t="shared" si="173"/>
        <v>136967.05722686087</v>
      </c>
      <c r="F277" s="118">
        <f t="shared" si="173"/>
        <v>148004.28434894152</v>
      </c>
      <c r="G277" s="118">
        <f t="shared" si="173"/>
        <v>155870.94162058108</v>
      </c>
      <c r="H277" s="118">
        <f t="shared" si="173"/>
        <v>161558.51787037912</v>
      </c>
      <c r="I277" s="118">
        <f t="shared" si="173"/>
        <v>166455.673572965</v>
      </c>
      <c r="J277" s="118">
        <f t="shared" si="173"/>
        <v>170568.71299311507</v>
      </c>
      <c r="K277" s="118">
        <f t="shared" si="173"/>
        <v>174129.65817644238</v>
      </c>
      <c r="L277" s="64"/>
      <c r="M277" s="64"/>
      <c r="N277" s="64"/>
      <c r="P277" s="59"/>
      <c r="Q277" s="59"/>
      <c r="R277" s="59"/>
      <c r="U277" s="71"/>
      <c r="V277" s="71"/>
      <c r="W277" s="71"/>
      <c r="Y277" s="59"/>
      <c r="Z277" s="59"/>
      <c r="AA277" s="59"/>
    </row>
    <row r="278" spans="1:45" s="65" customFormat="1">
      <c r="A278" s="107" t="s">
        <v>26</v>
      </c>
      <c r="B278" s="110"/>
      <c r="C278" s="111">
        <f t="shared" ref="C278:K280" si="174">+C148</f>
        <v>115360.46378415712</v>
      </c>
      <c r="D278" s="111">
        <f t="shared" si="174"/>
        <v>115360.46378415712</v>
      </c>
      <c r="E278" s="111">
        <f t="shared" si="174"/>
        <v>115360.46378415712</v>
      </c>
      <c r="F278" s="111">
        <f t="shared" si="174"/>
        <v>115360.46378415712</v>
      </c>
      <c r="G278" s="112">
        <f t="shared" si="174"/>
        <v>115360.46378415712</v>
      </c>
      <c r="H278" s="111">
        <f t="shared" si="174"/>
        <v>115360.46378415712</v>
      </c>
      <c r="I278" s="111">
        <f t="shared" si="174"/>
        <v>115360.46378415712</v>
      </c>
      <c r="J278" s="111">
        <f t="shared" si="174"/>
        <v>115360.46378415712</v>
      </c>
      <c r="K278" s="111">
        <f t="shared" si="174"/>
        <v>115360.46378415712</v>
      </c>
      <c r="L278" s="64"/>
      <c r="M278" s="64"/>
      <c r="N278" s="64"/>
      <c r="P278" s="63"/>
      <c r="Q278" s="63"/>
      <c r="R278" s="63"/>
      <c r="U278" s="64"/>
      <c r="V278" s="64"/>
      <c r="W278" s="64"/>
      <c r="Y278" s="63"/>
      <c r="Z278" s="63"/>
      <c r="AA278" s="63"/>
    </row>
    <row r="279" spans="1:45" s="65" customFormat="1">
      <c r="A279" s="107" t="s">
        <v>31</v>
      </c>
      <c r="B279" s="110"/>
      <c r="C279" s="111">
        <f t="shared" si="174"/>
        <v>9488.8426972657162</v>
      </c>
      <c r="D279" s="111">
        <f t="shared" si="174"/>
        <v>18977.685394531432</v>
      </c>
      <c r="E279" s="111">
        <f t="shared" si="174"/>
        <v>27510.72922137026</v>
      </c>
      <c r="F279" s="111">
        <f t="shared" si="174"/>
        <v>36680.972295160354</v>
      </c>
      <c r="G279" s="112">
        <f t="shared" si="174"/>
        <v>45851.215368950434</v>
      </c>
      <c r="H279" s="111">
        <f t="shared" si="174"/>
        <v>54238.552148804323</v>
      </c>
      <c r="I279" s="111">
        <f t="shared" si="174"/>
        <v>63278.310840271719</v>
      </c>
      <c r="J279" s="111">
        <f t="shared" si="174"/>
        <v>72318.069531739122</v>
      </c>
      <c r="K279" s="111">
        <f t="shared" si="174"/>
        <v>81357.828223206481</v>
      </c>
      <c r="L279" s="64"/>
      <c r="M279" s="64"/>
      <c r="N279" s="64"/>
      <c r="P279" s="63"/>
      <c r="Q279" s="63"/>
      <c r="R279" s="63"/>
      <c r="U279" s="64"/>
      <c r="V279" s="64"/>
      <c r="W279" s="64"/>
      <c r="Y279" s="63"/>
      <c r="Z279" s="63"/>
      <c r="AA279" s="63"/>
    </row>
    <row r="280" spans="1:45" s="65" customFormat="1">
      <c r="A280" s="107" t="s">
        <v>30</v>
      </c>
      <c r="B280" s="110"/>
      <c r="C280" s="111">
        <f t="shared" si="174"/>
        <v>3710.2834768262383</v>
      </c>
      <c r="D280" s="111">
        <f t="shared" si="174"/>
        <v>7420.5669536524765</v>
      </c>
      <c r="E280" s="111">
        <f t="shared" si="174"/>
        <v>10757.118367543793</v>
      </c>
      <c r="F280" s="111">
        <f t="shared" si="174"/>
        <v>14342.824490058394</v>
      </c>
      <c r="G280" s="112">
        <f t="shared" si="174"/>
        <v>17928.530612572984</v>
      </c>
      <c r="H280" s="111">
        <f t="shared" si="174"/>
        <v>21208.108329446317</v>
      </c>
      <c r="I280" s="111">
        <f t="shared" si="174"/>
        <v>24742.793051020708</v>
      </c>
      <c r="J280" s="111">
        <f t="shared" si="174"/>
        <v>28277.477772595099</v>
      </c>
      <c r="K280" s="111">
        <f t="shared" si="174"/>
        <v>31812.162494169475</v>
      </c>
      <c r="L280" s="64"/>
      <c r="M280" s="64"/>
      <c r="N280" s="64"/>
      <c r="P280" s="63"/>
      <c r="Q280" s="63"/>
      <c r="R280" s="63"/>
      <c r="U280" s="64"/>
      <c r="V280" s="64"/>
      <c r="W280" s="64"/>
      <c r="Y280" s="63"/>
      <c r="Z280" s="63"/>
      <c r="AA280" s="63"/>
    </row>
    <row r="281" spans="1:45" s="65" customFormat="1">
      <c r="A281" s="107" t="s">
        <v>13</v>
      </c>
      <c r="B281" s="110"/>
      <c r="C281" s="123">
        <f t="shared" ref="C281:K281" si="175">C221/100*$D$23*$D$17*C266</f>
        <v>41068.057812528707</v>
      </c>
      <c r="D281" s="123">
        <f t="shared" si="175"/>
        <v>95148.349428160043</v>
      </c>
      <c r="E281" s="123">
        <f t="shared" si="175"/>
        <v>159986.01615776934</v>
      </c>
      <c r="F281" s="123">
        <f t="shared" si="175"/>
        <v>240468.27482288118</v>
      </c>
      <c r="G281" s="123">
        <f t="shared" si="175"/>
        <v>335949.72679425322</v>
      </c>
      <c r="H281" s="123">
        <f t="shared" si="175"/>
        <v>442635.53813666699</v>
      </c>
      <c r="I281" s="123">
        <f t="shared" si="175"/>
        <v>569061.41123454121</v>
      </c>
      <c r="J281" s="123">
        <f t="shared" si="175"/>
        <v>712806.91959196737</v>
      </c>
      <c r="K281" s="123">
        <f t="shared" si="175"/>
        <v>874725.50320894457</v>
      </c>
      <c r="L281" s="30"/>
      <c r="M281" s="30"/>
      <c r="N281" s="30"/>
      <c r="P281" s="63"/>
      <c r="Q281" s="63"/>
      <c r="R281" s="63"/>
      <c r="U281" s="64"/>
      <c r="V281" s="64"/>
      <c r="W281" s="64"/>
      <c r="Y281" s="63"/>
      <c r="Z281" s="63"/>
      <c r="AA281" s="63"/>
    </row>
    <row r="282" spans="1:45" s="65" customFormat="1">
      <c r="A282" s="107" t="s">
        <v>38</v>
      </c>
      <c r="B282" s="124"/>
      <c r="C282" s="111">
        <f>+C266*$D$23*$E$13/100</f>
        <v>0</v>
      </c>
      <c r="D282" s="111">
        <f t="shared" ref="D282:K282" si="176">+D266*$D$23*$E$13/100</f>
        <v>0</v>
      </c>
      <c r="E282" s="111">
        <f t="shared" si="176"/>
        <v>0</v>
      </c>
      <c r="F282" s="111">
        <f t="shared" si="176"/>
        <v>0</v>
      </c>
      <c r="G282" s="111">
        <f t="shared" si="176"/>
        <v>0</v>
      </c>
      <c r="H282" s="111">
        <f t="shared" si="176"/>
        <v>0</v>
      </c>
      <c r="I282" s="111">
        <f t="shared" si="176"/>
        <v>0</v>
      </c>
      <c r="J282" s="111">
        <f t="shared" si="176"/>
        <v>0</v>
      </c>
      <c r="K282" s="111">
        <f t="shared" si="176"/>
        <v>0</v>
      </c>
      <c r="L282" s="64"/>
      <c r="M282" s="64"/>
      <c r="N282" s="64"/>
      <c r="P282" s="63"/>
      <c r="Q282" s="63"/>
      <c r="R282" s="63"/>
      <c r="U282" s="64"/>
      <c r="V282" s="64"/>
      <c r="W282" s="64"/>
      <c r="Y282" s="63"/>
      <c r="Z282" s="63"/>
      <c r="AA282" s="63"/>
    </row>
    <row r="283" spans="1:45">
      <c r="A283" s="107" t="s">
        <v>79</v>
      </c>
      <c r="B283" s="124"/>
      <c r="C283" s="111">
        <f t="shared" ref="C283:K283" si="177">+C277+C278+C280+C274</f>
        <v>214302.65155813535</v>
      </c>
      <c r="D283" s="111">
        <f t="shared" si="177"/>
        <v>256420.19253900557</v>
      </c>
      <c r="E283" s="111">
        <f t="shared" si="177"/>
        <v>281947.56831377512</v>
      </c>
      <c r="F283" s="111">
        <f t="shared" si="177"/>
        <v>302858.1445367749</v>
      </c>
      <c r="G283" s="112">
        <f t="shared" si="177"/>
        <v>320598.15090933349</v>
      </c>
      <c r="H283" s="111">
        <f t="shared" si="177"/>
        <v>335602.56750493246</v>
      </c>
      <c r="I283" s="111">
        <f t="shared" si="177"/>
        <v>350280.32084925118</v>
      </c>
      <c r="J283" s="111">
        <f t="shared" si="177"/>
        <v>364173.95791113388</v>
      </c>
      <c r="K283" s="111">
        <f t="shared" si="177"/>
        <v>377515.50073619396</v>
      </c>
      <c r="L283" s="64"/>
      <c r="M283" s="64"/>
      <c r="N283" s="64"/>
      <c r="O283" s="7"/>
      <c r="Q283" s="8"/>
      <c r="R283" s="8"/>
      <c r="S283" s="7"/>
      <c r="T283" s="7"/>
      <c r="U283" s="30"/>
      <c r="V283" s="30"/>
      <c r="W283" s="30"/>
      <c r="X283" s="7"/>
      <c r="Z283" s="8"/>
      <c r="AA283" s="8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</row>
    <row r="284" spans="1:45" s="65" customFormat="1">
      <c r="A284" s="107" t="s">
        <v>65</v>
      </c>
      <c r="B284" s="125" t="s">
        <v>87</v>
      </c>
      <c r="C284" s="126">
        <f t="shared" ref="C284:K284" si="178">C274+C277+C278+C279+C280+C281+C282</f>
        <v>264859.55206792976</v>
      </c>
      <c r="D284" s="126">
        <f t="shared" si="178"/>
        <v>370546.22736169706</v>
      </c>
      <c r="E284" s="126">
        <f t="shared" si="178"/>
        <v>469444.31369291479</v>
      </c>
      <c r="F284" s="126">
        <f t="shared" si="178"/>
        <v>580007.39165481646</v>
      </c>
      <c r="G284" s="126">
        <f t="shared" si="178"/>
        <v>702399.0930725371</v>
      </c>
      <c r="H284" s="126">
        <f t="shared" si="178"/>
        <v>832476.65779040381</v>
      </c>
      <c r="I284" s="126">
        <f t="shared" si="178"/>
        <v>982620.04292406398</v>
      </c>
      <c r="J284" s="126">
        <f t="shared" si="178"/>
        <v>1149298.9470348405</v>
      </c>
      <c r="K284" s="126">
        <f t="shared" si="178"/>
        <v>1333598.8321683451</v>
      </c>
      <c r="L284" s="64"/>
      <c r="M284" s="64"/>
      <c r="N284" s="64"/>
      <c r="P284" s="63"/>
      <c r="Q284" s="63"/>
      <c r="R284" s="63"/>
      <c r="U284" s="64"/>
      <c r="V284" s="64"/>
      <c r="W284" s="64"/>
      <c r="Y284" s="63"/>
      <c r="Z284" s="63"/>
      <c r="AA284" s="63"/>
    </row>
    <row r="285" spans="1:45" s="65" customFormat="1">
      <c r="A285" s="107"/>
      <c r="B285" s="110"/>
      <c r="C285" s="111"/>
      <c r="D285" s="111"/>
      <c r="E285" s="111"/>
      <c r="F285" s="111"/>
      <c r="G285" s="112"/>
      <c r="H285" s="111"/>
      <c r="I285" s="111"/>
      <c r="J285" s="111"/>
      <c r="K285" s="111"/>
      <c r="L285" s="64"/>
      <c r="M285" s="64"/>
      <c r="N285" s="64"/>
      <c r="P285" s="63"/>
      <c r="Q285" s="63"/>
      <c r="R285" s="63"/>
      <c r="U285" s="64"/>
      <c r="V285" s="64"/>
      <c r="W285" s="64"/>
      <c r="Y285" s="63"/>
      <c r="Z285" s="63"/>
      <c r="AA285" s="63"/>
    </row>
    <row r="286" spans="1:45" s="65" customFormat="1">
      <c r="A286" s="107" t="s">
        <v>4</v>
      </c>
      <c r="B286" s="110"/>
      <c r="C286" s="111">
        <v>200</v>
      </c>
      <c r="D286" s="111">
        <v>400</v>
      </c>
      <c r="E286" s="111">
        <v>600</v>
      </c>
      <c r="F286" s="111">
        <v>800</v>
      </c>
      <c r="G286" s="112">
        <v>1000</v>
      </c>
      <c r="H286" s="111">
        <v>1200</v>
      </c>
      <c r="I286" s="111">
        <v>1400</v>
      </c>
      <c r="J286" s="111">
        <v>1600</v>
      </c>
      <c r="K286" s="111">
        <v>1800</v>
      </c>
      <c r="L286" s="64"/>
      <c r="M286" s="64"/>
      <c r="N286" s="64"/>
      <c r="P286" s="63"/>
      <c r="Q286" s="63"/>
      <c r="R286" s="63"/>
      <c r="U286" s="64"/>
      <c r="V286" s="64"/>
      <c r="W286" s="64"/>
      <c r="Y286" s="63"/>
      <c r="Z286" s="63"/>
      <c r="AA286" s="63"/>
    </row>
    <row r="287" spans="1:45" s="65" customFormat="1">
      <c r="A287" s="107"/>
      <c r="B287" s="110"/>
      <c r="C287" s="111"/>
      <c r="D287" s="111"/>
      <c r="E287" s="111"/>
      <c r="F287" s="111"/>
      <c r="G287" s="112"/>
      <c r="H287" s="111"/>
      <c r="I287" s="111"/>
      <c r="J287" s="111"/>
      <c r="K287" s="111"/>
      <c r="L287" s="64"/>
      <c r="M287" s="64"/>
      <c r="N287" s="64"/>
      <c r="P287" s="63"/>
      <c r="Q287" s="63"/>
      <c r="R287" s="63"/>
      <c r="U287" s="64"/>
      <c r="V287" s="64"/>
      <c r="W287" s="64"/>
      <c r="Y287" s="63"/>
      <c r="Z287" s="63"/>
      <c r="AA287" s="63"/>
    </row>
    <row r="288" spans="1:45" s="65" customFormat="1">
      <c r="A288" s="107" t="s">
        <v>57</v>
      </c>
      <c r="B288" s="110"/>
      <c r="C288" s="111">
        <f t="shared" ref="C288:K293" si="179">+C158</f>
        <v>0</v>
      </c>
      <c r="D288" s="111">
        <f t="shared" si="179"/>
        <v>0</v>
      </c>
      <c r="E288" s="111">
        <f t="shared" si="179"/>
        <v>0</v>
      </c>
      <c r="F288" s="111">
        <f t="shared" si="179"/>
        <v>0</v>
      </c>
      <c r="G288" s="112">
        <f t="shared" si="179"/>
        <v>0</v>
      </c>
      <c r="H288" s="111">
        <f t="shared" si="179"/>
        <v>0</v>
      </c>
      <c r="I288" s="111">
        <f t="shared" si="179"/>
        <v>0</v>
      </c>
      <c r="J288" s="111">
        <f t="shared" si="179"/>
        <v>0</v>
      </c>
      <c r="K288" s="111">
        <f t="shared" si="179"/>
        <v>0</v>
      </c>
      <c r="L288" s="64"/>
      <c r="M288" s="64"/>
      <c r="N288" s="64"/>
      <c r="Q288" s="63"/>
      <c r="R288" s="63"/>
      <c r="U288" s="64"/>
      <c r="V288" s="64"/>
      <c r="W288" s="64"/>
      <c r="Z288" s="63"/>
      <c r="AA288" s="63"/>
    </row>
    <row r="289" spans="1:45" s="65" customFormat="1">
      <c r="A289" s="107" t="s">
        <v>58</v>
      </c>
      <c r="B289" s="110"/>
      <c r="C289" s="111">
        <f t="shared" si="179"/>
        <v>91.036414565826334</v>
      </c>
      <c r="D289" s="111">
        <f t="shared" si="179"/>
        <v>182.07282913165267</v>
      </c>
      <c r="E289" s="111">
        <f t="shared" si="179"/>
        <v>273.10924369747903</v>
      </c>
      <c r="F289" s="111">
        <f t="shared" si="179"/>
        <v>364.14565826330534</v>
      </c>
      <c r="G289" s="112">
        <f t="shared" si="179"/>
        <v>455.1820728291317</v>
      </c>
      <c r="H289" s="111">
        <f t="shared" si="179"/>
        <v>546.21848739495806</v>
      </c>
      <c r="I289" s="111">
        <f t="shared" si="179"/>
        <v>637.25490196078431</v>
      </c>
      <c r="J289" s="111">
        <f t="shared" si="179"/>
        <v>728.29131652661067</v>
      </c>
      <c r="K289" s="111">
        <f t="shared" si="179"/>
        <v>819.32773109243703</v>
      </c>
      <c r="L289" s="64"/>
      <c r="M289" s="64"/>
      <c r="N289" s="64"/>
      <c r="Q289" s="63"/>
      <c r="R289" s="63"/>
      <c r="U289" s="64"/>
      <c r="V289" s="64"/>
      <c r="W289" s="64"/>
      <c r="Z289" s="63"/>
      <c r="AA289" s="63"/>
    </row>
    <row r="290" spans="1:45" s="65" customFormat="1">
      <c r="A290" s="107" t="s">
        <v>59</v>
      </c>
      <c r="B290" s="110"/>
      <c r="C290" s="111">
        <f t="shared" si="179"/>
        <v>610.02039215686284</v>
      </c>
      <c r="D290" s="111">
        <f t="shared" si="179"/>
        <v>1220.0407843137257</v>
      </c>
      <c r="E290" s="111">
        <f t="shared" si="179"/>
        <v>1830.0611764705884</v>
      </c>
      <c r="F290" s="111">
        <f t="shared" si="179"/>
        <v>2440.0815686274514</v>
      </c>
      <c r="G290" s="112">
        <f t="shared" si="179"/>
        <v>3050.1019607843141</v>
      </c>
      <c r="H290" s="111">
        <f t="shared" si="179"/>
        <v>3660.1223529411768</v>
      </c>
      <c r="I290" s="111">
        <f t="shared" si="179"/>
        <v>4270.14274509804</v>
      </c>
      <c r="J290" s="111">
        <f t="shared" si="179"/>
        <v>4880.1631372549027</v>
      </c>
      <c r="K290" s="111">
        <f t="shared" si="179"/>
        <v>5490.1835294117654</v>
      </c>
      <c r="L290" s="64"/>
      <c r="M290" s="64"/>
      <c r="N290" s="64"/>
      <c r="U290" s="64"/>
      <c r="V290" s="64"/>
      <c r="W290" s="64"/>
    </row>
    <row r="291" spans="1:45" s="65" customFormat="1">
      <c r="A291" s="107" t="s">
        <v>60</v>
      </c>
      <c r="B291" s="110"/>
      <c r="C291" s="111">
        <f t="shared" si="179"/>
        <v>2838.0509259259256</v>
      </c>
      <c r="D291" s="111">
        <f t="shared" si="179"/>
        <v>5676.1018518518513</v>
      </c>
      <c r="E291" s="111">
        <f t="shared" si="179"/>
        <v>8514.1527777777792</v>
      </c>
      <c r="F291" s="111">
        <f t="shared" si="179"/>
        <v>11352.203703703703</v>
      </c>
      <c r="G291" s="112">
        <f t="shared" si="179"/>
        <v>14190.254629629633</v>
      </c>
      <c r="H291" s="111">
        <f t="shared" si="179"/>
        <v>17028.305555555558</v>
      </c>
      <c r="I291" s="111">
        <f t="shared" si="179"/>
        <v>19866.356481481482</v>
      </c>
      <c r="J291" s="111">
        <f t="shared" si="179"/>
        <v>22704.407407407405</v>
      </c>
      <c r="K291" s="111">
        <f t="shared" si="179"/>
        <v>25542.458333333332</v>
      </c>
      <c r="L291" s="64"/>
      <c r="M291" s="64"/>
      <c r="N291" s="64"/>
      <c r="U291" s="64"/>
      <c r="V291" s="64"/>
      <c r="W291" s="64"/>
    </row>
    <row r="292" spans="1:45" s="65" customFormat="1">
      <c r="A292" s="107" t="s">
        <v>61</v>
      </c>
      <c r="B292" s="110"/>
      <c r="C292" s="111">
        <f t="shared" si="179"/>
        <v>346.57219047619043</v>
      </c>
      <c r="D292" s="111">
        <f t="shared" si="179"/>
        <v>693.14438095238086</v>
      </c>
      <c r="E292" s="111">
        <f t="shared" si="179"/>
        <v>1039.7165714285713</v>
      </c>
      <c r="F292" s="111">
        <f t="shared" si="179"/>
        <v>1386.2887619047617</v>
      </c>
      <c r="G292" s="112">
        <f t="shared" si="179"/>
        <v>1732.8609523809521</v>
      </c>
      <c r="H292" s="111">
        <f t="shared" si="179"/>
        <v>2079.4331428571427</v>
      </c>
      <c r="I292" s="111">
        <f t="shared" si="179"/>
        <v>2426.0053333333331</v>
      </c>
      <c r="J292" s="111">
        <f t="shared" si="179"/>
        <v>2772.5775238095234</v>
      </c>
      <c r="K292" s="111">
        <f t="shared" si="179"/>
        <v>3119.1497142857147</v>
      </c>
      <c r="L292" s="64"/>
      <c r="M292" s="64"/>
      <c r="N292" s="64"/>
      <c r="U292" s="64"/>
      <c r="V292" s="64"/>
      <c r="W292" s="64"/>
    </row>
    <row r="293" spans="1:45" s="65" customFormat="1">
      <c r="A293" s="107" t="s">
        <v>62</v>
      </c>
      <c r="B293" s="110"/>
      <c r="C293" s="111">
        <f t="shared" si="179"/>
        <v>4151.5498368952303</v>
      </c>
      <c r="D293" s="111">
        <f t="shared" si="179"/>
        <v>8303.0996737904607</v>
      </c>
      <c r="E293" s="111">
        <f t="shared" si="179"/>
        <v>11934.094406968243</v>
      </c>
      <c r="F293" s="111">
        <f t="shared" si="179"/>
        <v>15912.125875957661</v>
      </c>
      <c r="G293" s="112">
        <f t="shared" si="179"/>
        <v>19890.157344947074</v>
      </c>
      <c r="H293" s="111">
        <f t="shared" si="179"/>
        <v>23442.286827589327</v>
      </c>
      <c r="I293" s="111">
        <f t="shared" si="179"/>
        <v>27349.334632187547</v>
      </c>
      <c r="J293" s="111">
        <f t="shared" si="179"/>
        <v>31256.382436785774</v>
      </c>
      <c r="K293" s="111">
        <f t="shared" si="179"/>
        <v>35163.430241383998</v>
      </c>
      <c r="L293" s="64"/>
      <c r="M293" s="64"/>
      <c r="N293" s="64"/>
      <c r="U293" s="64"/>
      <c r="V293" s="64"/>
      <c r="W293" s="64"/>
    </row>
    <row r="294" spans="1:45" s="65" customFormat="1">
      <c r="A294" s="107" t="s">
        <v>12</v>
      </c>
      <c r="B294" s="110"/>
      <c r="C294" s="111">
        <f t="shared" ref="C294:K294" si="180">SUM(C288:C293)</f>
        <v>8037.2297600200354</v>
      </c>
      <c r="D294" s="111">
        <f t="shared" si="180"/>
        <v>16074.459520040071</v>
      </c>
      <c r="E294" s="111">
        <f t="shared" si="180"/>
        <v>23591.134176342661</v>
      </c>
      <c r="F294" s="111">
        <f t="shared" si="180"/>
        <v>31454.845568456883</v>
      </c>
      <c r="G294" s="112">
        <f t="shared" si="180"/>
        <v>39318.556960571106</v>
      </c>
      <c r="H294" s="111">
        <f t="shared" si="180"/>
        <v>46756.366366338159</v>
      </c>
      <c r="I294" s="111">
        <f t="shared" si="180"/>
        <v>54549.094094061191</v>
      </c>
      <c r="J294" s="111">
        <f t="shared" si="180"/>
        <v>62341.821821784215</v>
      </c>
      <c r="K294" s="111">
        <f t="shared" si="180"/>
        <v>70134.549549507239</v>
      </c>
      <c r="L294" s="64"/>
      <c r="M294" s="64"/>
      <c r="N294" s="64"/>
      <c r="U294" s="64"/>
      <c r="V294" s="64"/>
      <c r="W294" s="64"/>
    </row>
    <row r="295" spans="1:45" s="65" customFormat="1">
      <c r="A295" s="107" t="s">
        <v>32</v>
      </c>
      <c r="B295" s="110"/>
      <c r="C295" s="122">
        <f t="shared" ref="C295:K295" si="181">(99.94-5.257*C238+0.1755*C238*C238-0.06767*$F$5-0.002662*C235*C238)/100*$I$5</f>
        <v>607637.94737603143</v>
      </c>
      <c r="D295" s="122">
        <f t="shared" si="181"/>
        <v>590233.71265206288</v>
      </c>
      <c r="E295" s="122">
        <f t="shared" si="181"/>
        <v>574810.92762525904</v>
      </c>
      <c r="F295" s="122">
        <f t="shared" si="181"/>
        <v>558067.17613367864</v>
      </c>
      <c r="G295" s="122">
        <f t="shared" si="181"/>
        <v>541323.42464209837</v>
      </c>
      <c r="H295" s="122">
        <f t="shared" si="181"/>
        <v>526108.49806549714</v>
      </c>
      <c r="I295" s="122">
        <f t="shared" si="181"/>
        <v>509619.55072641344</v>
      </c>
      <c r="J295" s="122">
        <f t="shared" si="181"/>
        <v>493130.60338732967</v>
      </c>
      <c r="K295" s="122">
        <f t="shared" si="181"/>
        <v>476641.65604824584</v>
      </c>
      <c r="L295" s="71"/>
      <c r="M295" s="71"/>
      <c r="N295" s="71"/>
      <c r="U295" s="64"/>
      <c r="V295" s="64"/>
      <c r="W295" s="64"/>
    </row>
    <row r="296" spans="1:45" s="65" customFormat="1">
      <c r="A296" s="107" t="s">
        <v>33</v>
      </c>
      <c r="B296" s="110"/>
      <c r="C296" s="111">
        <f t="shared" ref="C296:K296" si="182">+C166</f>
        <v>46827.467301342811</v>
      </c>
      <c r="D296" s="111">
        <f t="shared" si="182"/>
        <v>46827.467301342811</v>
      </c>
      <c r="E296" s="111">
        <f t="shared" si="182"/>
        <v>46827.467301342811</v>
      </c>
      <c r="F296" s="111">
        <f t="shared" si="182"/>
        <v>46827.467301342811</v>
      </c>
      <c r="G296" s="112">
        <f t="shared" si="182"/>
        <v>46827.467301342811</v>
      </c>
      <c r="H296" s="111">
        <f t="shared" si="182"/>
        <v>46827.467301342811</v>
      </c>
      <c r="I296" s="111">
        <f t="shared" si="182"/>
        <v>46827.467301342811</v>
      </c>
      <c r="J296" s="111">
        <f t="shared" si="182"/>
        <v>46827.467301342811</v>
      </c>
      <c r="K296" s="111">
        <f t="shared" si="182"/>
        <v>46827.467301342811</v>
      </c>
      <c r="L296" s="64"/>
      <c r="M296" s="64"/>
      <c r="N296" s="64"/>
      <c r="U296" s="64"/>
      <c r="V296" s="64"/>
      <c r="W296" s="64"/>
    </row>
    <row r="297" spans="1:45" s="72" customFormat="1">
      <c r="A297" s="107" t="s">
        <v>63</v>
      </c>
      <c r="B297" s="127"/>
      <c r="C297" s="118">
        <f t="shared" ref="C297:K297" si="183">+(($I$5-C295)/C238+($I$5+C295)/2*$D$21)/C235*(C234-C228*$D$19)*2</f>
        <v>80087.268072435414</v>
      </c>
      <c r="D297" s="118">
        <f t="shared" si="183"/>
        <v>112710.42276759399</v>
      </c>
      <c r="E297" s="118">
        <f t="shared" si="183"/>
        <v>128816.10236276541</v>
      </c>
      <c r="F297" s="118">
        <f t="shared" si="183"/>
        <v>140981.4393010663</v>
      </c>
      <c r="G297" s="118">
        <f t="shared" si="183"/>
        <v>149882.84294306999</v>
      </c>
      <c r="H297" s="118">
        <f t="shared" si="183"/>
        <v>155859.07703746977</v>
      </c>
      <c r="I297" s="118">
        <f t="shared" si="183"/>
        <v>161589.19754142006</v>
      </c>
      <c r="J297" s="118">
        <f t="shared" si="183"/>
        <v>166475.11117516484</v>
      </c>
      <c r="K297" s="118">
        <f t="shared" si="183"/>
        <v>170761.11421098709</v>
      </c>
      <c r="L297" s="64"/>
      <c r="M297" s="64"/>
      <c r="N297" s="64"/>
      <c r="U297" s="71"/>
      <c r="V297" s="71"/>
      <c r="W297" s="71"/>
    </row>
    <row r="298" spans="1:45" s="65" customFormat="1">
      <c r="A298" s="107" t="s">
        <v>26</v>
      </c>
      <c r="B298" s="110"/>
      <c r="C298" s="111">
        <f t="shared" ref="C298:K300" si="184">+C168</f>
        <v>169183.23152593733</v>
      </c>
      <c r="D298" s="111">
        <f t="shared" si="184"/>
        <v>169183.23152593733</v>
      </c>
      <c r="E298" s="111">
        <f t="shared" si="184"/>
        <v>169183.23152593733</v>
      </c>
      <c r="F298" s="111">
        <f t="shared" si="184"/>
        <v>169183.23152593733</v>
      </c>
      <c r="G298" s="112">
        <f t="shared" si="184"/>
        <v>169183.23152593733</v>
      </c>
      <c r="H298" s="111">
        <f t="shared" si="184"/>
        <v>169183.23152593733</v>
      </c>
      <c r="I298" s="111">
        <f t="shared" si="184"/>
        <v>169183.23152593733</v>
      </c>
      <c r="J298" s="111">
        <f t="shared" si="184"/>
        <v>169183.23152593733</v>
      </c>
      <c r="K298" s="111">
        <f t="shared" si="184"/>
        <v>169183.23152593733</v>
      </c>
      <c r="L298" s="64"/>
      <c r="M298" s="64"/>
      <c r="N298" s="64"/>
      <c r="U298" s="64"/>
      <c r="V298" s="64"/>
      <c r="W298" s="64"/>
    </row>
    <row r="299" spans="1:45" s="65" customFormat="1">
      <c r="A299" s="107" t="s">
        <v>31</v>
      </c>
      <c r="B299" s="110"/>
      <c r="C299" s="111">
        <f t="shared" si="184"/>
        <v>8593.8931535255469</v>
      </c>
      <c r="D299" s="111">
        <f t="shared" si="184"/>
        <v>17187.786307051094</v>
      </c>
      <c r="E299" s="111">
        <f t="shared" si="184"/>
        <v>24704.107200185383</v>
      </c>
      <c r="F299" s="111">
        <f t="shared" si="184"/>
        <v>32938.809600247187</v>
      </c>
      <c r="G299" s="112">
        <f t="shared" si="184"/>
        <v>41173.512000308976</v>
      </c>
      <c r="H299" s="111">
        <f t="shared" si="184"/>
        <v>48526.578310635407</v>
      </c>
      <c r="I299" s="111">
        <f t="shared" si="184"/>
        <v>56614.341362407969</v>
      </c>
      <c r="J299" s="111">
        <f t="shared" si="184"/>
        <v>64702.104414180554</v>
      </c>
      <c r="K299" s="111">
        <f t="shared" si="184"/>
        <v>72789.86746595311</v>
      </c>
      <c r="L299" s="64"/>
      <c r="M299" s="64"/>
      <c r="N299" s="64"/>
      <c r="U299" s="64"/>
      <c r="V299" s="64"/>
      <c r="W299" s="64"/>
    </row>
    <row r="300" spans="1:45" s="65" customFormat="1">
      <c r="A300" s="107" t="s">
        <v>30</v>
      </c>
      <c r="B300" s="110"/>
      <c r="C300" s="111">
        <f t="shared" si="184"/>
        <v>3360.3444367693123</v>
      </c>
      <c r="D300" s="111">
        <f t="shared" si="184"/>
        <v>6720.6888735386246</v>
      </c>
      <c r="E300" s="111">
        <f t="shared" si="184"/>
        <v>9659.6859784601802</v>
      </c>
      <c r="F300" s="111">
        <f t="shared" si="184"/>
        <v>12879.581304613575</v>
      </c>
      <c r="G300" s="112">
        <f t="shared" si="184"/>
        <v>16099.476630766969</v>
      </c>
      <c r="H300" s="111">
        <f t="shared" si="184"/>
        <v>18974.638682201683</v>
      </c>
      <c r="I300" s="111">
        <f t="shared" si="184"/>
        <v>22137.078462568636</v>
      </c>
      <c r="J300" s="111">
        <f t="shared" si="184"/>
        <v>25299.518242935577</v>
      </c>
      <c r="K300" s="111">
        <f t="shared" si="184"/>
        <v>28461.958023302526</v>
      </c>
      <c r="L300" s="64"/>
      <c r="M300" s="64"/>
      <c r="N300" s="64"/>
      <c r="P300" s="5"/>
      <c r="U300" s="64"/>
      <c r="V300" s="64"/>
      <c r="W300" s="64"/>
      <c r="Y300" s="5"/>
    </row>
    <row r="301" spans="1:45" s="65" customFormat="1">
      <c r="A301" s="107" t="s">
        <v>13</v>
      </c>
      <c r="B301" s="110"/>
      <c r="C301" s="123">
        <f t="shared" ref="C301:K301" si="185">C241/100*$D$23*$D$17*C286</f>
        <v>39591.868380888067</v>
      </c>
      <c r="D301" s="123">
        <f t="shared" si="185"/>
        <v>89900.267730620166</v>
      </c>
      <c r="E301" s="123">
        <f t="shared" si="185"/>
        <v>148669.65302214061</v>
      </c>
      <c r="F301" s="123">
        <f t="shared" si="185"/>
        <v>220401.31617966591</v>
      </c>
      <c r="G301" s="123">
        <f t="shared" si="185"/>
        <v>304642.93541226361</v>
      </c>
      <c r="H301" s="123">
        <f t="shared" si="185"/>
        <v>396857.5753347968</v>
      </c>
      <c r="I301" s="123">
        <f t="shared" si="185"/>
        <v>506636.42795908148</v>
      </c>
      <c r="J301" s="123">
        <f t="shared" si="185"/>
        <v>631158.52726959996</v>
      </c>
      <c r="K301" s="123">
        <f t="shared" si="185"/>
        <v>771277.31326635275</v>
      </c>
      <c r="L301" s="30"/>
      <c r="M301" s="30"/>
      <c r="N301" s="30"/>
      <c r="P301" s="5"/>
      <c r="U301" s="64"/>
      <c r="V301" s="64"/>
      <c r="W301" s="64"/>
      <c r="Y301" s="5"/>
    </row>
    <row r="302" spans="1:45" s="65" customFormat="1">
      <c r="A302" s="107" t="s">
        <v>38</v>
      </c>
      <c r="B302" s="124"/>
      <c r="C302" s="111">
        <f>+C286*$D$23*$F$13/100</f>
        <v>0</v>
      </c>
      <c r="D302" s="111">
        <f t="shared" ref="D302:K302" si="186">+D286*$D$23*$F$13/100</f>
        <v>0</v>
      </c>
      <c r="E302" s="111">
        <f t="shared" si="186"/>
        <v>0</v>
      </c>
      <c r="F302" s="111">
        <f t="shared" si="186"/>
        <v>0</v>
      </c>
      <c r="G302" s="111">
        <f t="shared" si="186"/>
        <v>0</v>
      </c>
      <c r="H302" s="111">
        <f t="shared" si="186"/>
        <v>0</v>
      </c>
      <c r="I302" s="111">
        <f t="shared" si="186"/>
        <v>0</v>
      </c>
      <c r="J302" s="111">
        <f t="shared" si="186"/>
        <v>0</v>
      </c>
      <c r="K302" s="111">
        <f t="shared" si="186"/>
        <v>0</v>
      </c>
      <c r="L302" s="5"/>
      <c r="M302" s="5"/>
      <c r="N302" s="5"/>
      <c r="P302" s="5"/>
      <c r="U302" s="64"/>
      <c r="V302" s="64"/>
      <c r="W302" s="64"/>
      <c r="Y302" s="5"/>
    </row>
    <row r="303" spans="1:45">
      <c r="A303" s="107" t="s">
        <v>80</v>
      </c>
      <c r="B303" s="124"/>
      <c r="C303" s="111">
        <f t="shared" ref="C303:K303" si="187">+C297+C298+C300+C294</f>
        <v>260668.07379516208</v>
      </c>
      <c r="D303" s="111">
        <f t="shared" si="187"/>
        <v>304688.80268711003</v>
      </c>
      <c r="E303" s="111">
        <f t="shared" si="187"/>
        <v>331250.15404350555</v>
      </c>
      <c r="F303" s="111">
        <f t="shared" si="187"/>
        <v>354499.09770007408</v>
      </c>
      <c r="G303" s="112">
        <f t="shared" si="187"/>
        <v>374484.1080603454</v>
      </c>
      <c r="H303" s="111">
        <f t="shared" si="187"/>
        <v>390773.31361194694</v>
      </c>
      <c r="I303" s="111">
        <f t="shared" si="187"/>
        <v>407458.6016239872</v>
      </c>
      <c r="J303" s="111">
        <f t="shared" si="187"/>
        <v>423299.68276582193</v>
      </c>
      <c r="K303" s="111">
        <f t="shared" si="187"/>
        <v>438540.85330973426</v>
      </c>
      <c r="L303" s="5"/>
      <c r="O303" s="7"/>
      <c r="Q303" s="8"/>
      <c r="R303" s="8"/>
      <c r="S303" s="7"/>
      <c r="T303" s="7"/>
      <c r="U303" s="30"/>
      <c r="V303" s="30"/>
      <c r="W303" s="30"/>
      <c r="X303" s="7"/>
      <c r="Z303" s="8"/>
      <c r="AA303" s="8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</row>
    <row r="304" spans="1:45" s="65" customFormat="1">
      <c r="A304" s="107" t="s">
        <v>66</v>
      </c>
      <c r="B304" s="125" t="s">
        <v>88</v>
      </c>
      <c r="C304" s="126">
        <f t="shared" ref="C304:K304" si="188">C294+C297+C298+C299+C300+C301+C302</f>
        <v>308853.8353295757</v>
      </c>
      <c r="D304" s="126">
        <f t="shared" si="188"/>
        <v>411776.85672478128</v>
      </c>
      <c r="E304" s="126">
        <f t="shared" si="188"/>
        <v>504623.91426583158</v>
      </c>
      <c r="F304" s="126">
        <f t="shared" si="188"/>
        <v>607839.22347998712</v>
      </c>
      <c r="G304" s="126">
        <f t="shared" si="188"/>
        <v>720300.55547291797</v>
      </c>
      <c r="H304" s="126">
        <f t="shared" si="188"/>
        <v>836157.46725737909</v>
      </c>
      <c r="I304" s="126">
        <f t="shared" si="188"/>
        <v>970709.37094547669</v>
      </c>
      <c r="J304" s="126">
        <f t="shared" si="188"/>
        <v>1119160.3144496025</v>
      </c>
      <c r="K304" s="126">
        <f t="shared" si="188"/>
        <v>1282608.0340420401</v>
      </c>
      <c r="L304" s="5"/>
      <c r="M304" s="5"/>
      <c r="N304" s="5"/>
      <c r="P304" s="5"/>
      <c r="U304" s="5"/>
      <c r="V304" s="5"/>
      <c r="W304" s="5"/>
      <c r="Y304" s="5"/>
    </row>
    <row r="305" spans="1:20">
      <c r="A305" s="107"/>
      <c r="B305" s="128"/>
      <c r="C305" s="111"/>
      <c r="D305" s="111"/>
      <c r="E305" s="111"/>
      <c r="F305" s="111"/>
      <c r="G305" s="112"/>
      <c r="H305" s="111"/>
      <c r="I305" s="111"/>
      <c r="J305" s="111"/>
      <c r="K305" s="111"/>
      <c r="L305" s="5"/>
    </row>
    <row r="306" spans="1:20">
      <c r="A306" s="107"/>
      <c r="B306" s="129"/>
      <c r="C306" s="111"/>
      <c r="D306" s="111"/>
      <c r="E306" s="111"/>
      <c r="F306" s="111"/>
      <c r="G306" s="112"/>
      <c r="H306" s="111"/>
      <c r="I306" s="111"/>
      <c r="J306" s="111"/>
      <c r="K306" s="111"/>
      <c r="L306" s="67"/>
      <c r="M306" s="66"/>
      <c r="N306" s="66"/>
    </row>
    <row r="307" spans="1:20">
      <c r="A307" s="107" t="s">
        <v>45</v>
      </c>
      <c r="B307" s="129"/>
      <c r="C307" s="111">
        <f t="shared" ref="C307:K307" si="189">+C286*$D$17*$D$23</f>
        <v>355600</v>
      </c>
      <c r="D307" s="111">
        <f t="shared" si="189"/>
        <v>711200</v>
      </c>
      <c r="E307" s="111">
        <f t="shared" si="189"/>
        <v>1066800</v>
      </c>
      <c r="F307" s="111">
        <f t="shared" si="189"/>
        <v>1422400</v>
      </c>
      <c r="G307" s="112">
        <f t="shared" si="189"/>
        <v>1778000</v>
      </c>
      <c r="H307" s="111">
        <f t="shared" si="189"/>
        <v>2133600</v>
      </c>
      <c r="I307" s="111">
        <f t="shared" si="189"/>
        <v>2489200</v>
      </c>
      <c r="J307" s="111">
        <f t="shared" si="189"/>
        <v>2844800</v>
      </c>
      <c r="K307" s="111">
        <f t="shared" si="189"/>
        <v>3200400</v>
      </c>
      <c r="L307" s="67"/>
      <c r="M307" s="66"/>
      <c r="N307" s="66"/>
    </row>
    <row r="308" spans="1:20">
      <c r="A308" s="23"/>
      <c r="B308" s="23"/>
      <c r="C308" s="66"/>
      <c r="D308" s="66"/>
      <c r="E308" s="66"/>
      <c r="F308" s="66"/>
      <c r="G308" s="66"/>
      <c r="H308" s="66"/>
      <c r="I308" s="66"/>
      <c r="J308" s="66"/>
      <c r="K308" s="66"/>
      <c r="L308" s="73"/>
      <c r="M308" s="24"/>
      <c r="N308" s="24"/>
      <c r="O308" s="66"/>
      <c r="P308" s="66"/>
      <c r="Q308" s="66"/>
      <c r="R308" s="66"/>
      <c r="S308" s="66"/>
      <c r="T308" s="66"/>
    </row>
    <row r="309" spans="1:20">
      <c r="A309" s="23"/>
      <c r="B309" s="23"/>
      <c r="C309" s="66"/>
      <c r="D309" s="66"/>
      <c r="E309" s="66"/>
      <c r="F309" s="66"/>
      <c r="G309" s="66"/>
      <c r="H309" s="66"/>
      <c r="I309" s="66"/>
      <c r="J309" s="66"/>
      <c r="K309" s="66"/>
      <c r="L309" s="73"/>
      <c r="M309" s="24"/>
      <c r="N309" s="24"/>
      <c r="O309" s="66"/>
      <c r="P309" s="66"/>
      <c r="Q309" s="66"/>
      <c r="R309" s="66"/>
      <c r="S309" s="66"/>
      <c r="T309" s="66"/>
    </row>
    <row r="310" spans="1:20">
      <c r="A310" s="22"/>
      <c r="B310" s="22"/>
      <c r="C310" s="24"/>
      <c r="D310" s="24"/>
      <c r="E310" s="24"/>
      <c r="F310" s="24"/>
      <c r="G310" s="24"/>
      <c r="H310" s="24"/>
      <c r="I310" s="24"/>
      <c r="J310" s="24"/>
      <c r="K310" s="24"/>
      <c r="L310" s="73"/>
      <c r="M310" s="24"/>
      <c r="N310" s="24"/>
      <c r="O310" s="24"/>
      <c r="P310" s="24"/>
      <c r="Q310" s="24"/>
      <c r="R310" s="24"/>
      <c r="S310" s="24"/>
      <c r="T310" s="24"/>
    </row>
    <row r="311" spans="1:20">
      <c r="A311" s="22"/>
      <c r="B311" s="22"/>
      <c r="C311" s="24"/>
      <c r="D311" s="24"/>
      <c r="E311" s="24"/>
      <c r="F311" s="24"/>
      <c r="G311" s="24"/>
      <c r="H311" s="24"/>
      <c r="I311" s="24"/>
      <c r="J311" s="24"/>
      <c r="K311" s="24"/>
      <c r="L311" s="73"/>
      <c r="M311" s="24"/>
      <c r="N311" s="24"/>
      <c r="O311" s="24"/>
      <c r="P311" s="24"/>
      <c r="Q311" s="24"/>
      <c r="R311" s="24"/>
      <c r="S311" s="24"/>
      <c r="T311" s="24"/>
    </row>
    <row r="312" spans="1:20">
      <c r="A312" s="22"/>
      <c r="B312" s="22"/>
      <c r="C312" s="24"/>
      <c r="D312" s="24"/>
      <c r="E312" s="24"/>
      <c r="F312" s="24"/>
      <c r="G312" s="24"/>
      <c r="H312" s="24"/>
      <c r="I312" s="24"/>
      <c r="J312" s="24"/>
      <c r="K312" s="24"/>
      <c r="L312" s="73"/>
      <c r="M312" s="24"/>
      <c r="N312" s="24"/>
      <c r="O312" s="24"/>
      <c r="P312" s="24"/>
      <c r="Q312" s="24"/>
      <c r="R312" s="24"/>
      <c r="S312" s="24"/>
      <c r="T312" s="24"/>
    </row>
    <row r="313" spans="1:20">
      <c r="A313" s="22"/>
      <c r="B313" s="22"/>
      <c r="C313" s="24"/>
      <c r="D313" s="24"/>
      <c r="E313" s="24"/>
      <c r="F313" s="24"/>
      <c r="G313" s="24"/>
      <c r="H313" s="24"/>
      <c r="I313" s="24"/>
      <c r="J313" s="24"/>
      <c r="K313" s="24"/>
      <c r="L313" s="73"/>
      <c r="M313" s="24"/>
      <c r="N313" s="24"/>
      <c r="O313" s="24"/>
      <c r="P313" s="24"/>
      <c r="Q313" s="24"/>
      <c r="R313" s="24"/>
      <c r="S313" s="24"/>
      <c r="T313" s="24"/>
    </row>
    <row r="314" spans="1:20">
      <c r="A314" s="22"/>
      <c r="B314" s="22"/>
      <c r="C314" s="24"/>
      <c r="D314" s="24"/>
      <c r="E314" s="24"/>
      <c r="F314" s="24"/>
      <c r="G314" s="24"/>
      <c r="H314" s="24"/>
      <c r="I314" s="24"/>
      <c r="J314" s="24"/>
      <c r="K314" s="24"/>
      <c r="L314" s="73"/>
      <c r="M314" s="24"/>
      <c r="N314" s="24"/>
      <c r="O314" s="24"/>
      <c r="P314" s="24"/>
      <c r="Q314" s="24"/>
      <c r="R314" s="24"/>
      <c r="S314" s="24"/>
      <c r="T314" s="24"/>
    </row>
    <row r="315" spans="1:20">
      <c r="A315" s="22"/>
      <c r="B315" s="22"/>
      <c r="C315" s="24"/>
      <c r="D315" s="24"/>
      <c r="E315" s="24"/>
      <c r="F315" s="24"/>
      <c r="G315" s="24"/>
      <c r="H315" s="24"/>
      <c r="I315" s="24"/>
      <c r="J315" s="24"/>
      <c r="K315" s="24"/>
      <c r="L315" s="73"/>
      <c r="M315" s="24"/>
      <c r="N315" s="24"/>
      <c r="O315" s="24"/>
      <c r="P315" s="24"/>
      <c r="Q315" s="24"/>
      <c r="R315" s="24"/>
      <c r="S315" s="24"/>
      <c r="T315" s="24"/>
    </row>
    <row r="316" spans="1:20">
      <c r="A316" s="22"/>
      <c r="B316" s="22"/>
      <c r="C316" s="24"/>
      <c r="D316" s="24"/>
      <c r="E316" s="24"/>
      <c r="F316" s="24"/>
      <c r="G316" s="24"/>
      <c r="H316" s="24"/>
      <c r="I316" s="24"/>
      <c r="J316" s="24"/>
      <c r="K316" s="24"/>
      <c r="L316" s="73"/>
      <c r="M316" s="24"/>
      <c r="N316" s="24"/>
      <c r="O316" s="24"/>
      <c r="P316" s="24"/>
      <c r="Q316" s="24"/>
      <c r="R316" s="24"/>
      <c r="S316" s="24"/>
      <c r="T316" s="24"/>
    </row>
    <row r="317" spans="1:20">
      <c r="A317" s="22"/>
      <c r="B317" s="22"/>
      <c r="C317" s="24"/>
      <c r="D317" s="24"/>
      <c r="E317" s="24"/>
      <c r="F317" s="24"/>
      <c r="G317" s="24"/>
      <c r="H317" s="24"/>
      <c r="I317" s="24"/>
      <c r="J317" s="24"/>
      <c r="K317" s="24"/>
      <c r="L317" s="73"/>
      <c r="M317" s="24"/>
      <c r="N317" s="24"/>
      <c r="O317" s="24"/>
      <c r="P317" s="24"/>
      <c r="Q317" s="24"/>
      <c r="R317" s="24"/>
      <c r="S317" s="24"/>
      <c r="T317" s="24"/>
    </row>
    <row r="318" spans="1:20">
      <c r="A318" s="22"/>
      <c r="B318" s="22"/>
      <c r="C318" s="24"/>
      <c r="D318" s="24"/>
      <c r="E318" s="24"/>
      <c r="F318" s="24"/>
      <c r="G318" s="24"/>
      <c r="H318" s="24"/>
      <c r="I318" s="24"/>
      <c r="J318" s="24"/>
      <c r="K318" s="24"/>
      <c r="L318" s="73"/>
      <c r="M318" s="24"/>
      <c r="N318" s="24"/>
      <c r="O318" s="24"/>
      <c r="P318" s="24"/>
      <c r="Q318" s="24"/>
      <c r="R318" s="24"/>
      <c r="S318" s="24"/>
      <c r="T318" s="24"/>
    </row>
    <row r="319" spans="1:20">
      <c r="A319" s="22"/>
      <c r="B319" s="22"/>
      <c r="C319" s="24"/>
      <c r="D319" s="24"/>
      <c r="E319" s="24"/>
      <c r="F319" s="24"/>
      <c r="G319" s="24"/>
      <c r="H319" s="24"/>
      <c r="I319" s="24"/>
      <c r="J319" s="24"/>
      <c r="K319" s="24"/>
      <c r="L319" s="73"/>
      <c r="M319" s="24"/>
      <c r="N319" s="24"/>
      <c r="O319" s="24"/>
      <c r="P319" s="24"/>
      <c r="Q319" s="24"/>
      <c r="R319" s="24"/>
      <c r="S319" s="24"/>
      <c r="T319" s="24"/>
    </row>
    <row r="320" spans="1:20">
      <c r="A320" s="22"/>
      <c r="B320" s="22"/>
      <c r="C320" s="24"/>
      <c r="D320" s="24"/>
      <c r="E320" s="24"/>
      <c r="F320" s="24"/>
      <c r="G320" s="24"/>
      <c r="H320" s="24"/>
      <c r="I320" s="24"/>
      <c r="J320" s="24"/>
      <c r="K320" s="24"/>
      <c r="L320" s="73"/>
      <c r="M320" s="24"/>
      <c r="N320" s="24"/>
      <c r="O320" s="24"/>
      <c r="P320" s="24"/>
      <c r="Q320" s="24"/>
      <c r="R320" s="24"/>
      <c r="S320" s="24"/>
      <c r="T320" s="24"/>
    </row>
    <row r="321" spans="1:20">
      <c r="A321" s="22"/>
      <c r="B321" s="22"/>
      <c r="C321" s="24"/>
      <c r="D321" s="24"/>
      <c r="E321" s="24"/>
      <c r="F321" s="24"/>
      <c r="G321" s="24"/>
      <c r="H321" s="24"/>
      <c r="I321" s="24"/>
      <c r="J321" s="24"/>
      <c r="K321" s="24"/>
      <c r="L321" s="73"/>
      <c r="M321" s="24"/>
      <c r="N321" s="24"/>
      <c r="O321" s="24"/>
      <c r="P321" s="24"/>
      <c r="Q321" s="24"/>
      <c r="R321" s="24"/>
      <c r="S321" s="24"/>
      <c r="T321" s="24"/>
    </row>
    <row r="322" spans="1:20">
      <c r="A322" s="22"/>
      <c r="B322" s="22"/>
      <c r="C322" s="24"/>
      <c r="D322" s="24"/>
      <c r="E322" s="24"/>
      <c r="F322" s="24"/>
      <c r="G322" s="24"/>
      <c r="H322" s="24"/>
      <c r="I322" s="24"/>
      <c r="J322" s="24"/>
      <c r="K322" s="24"/>
      <c r="L322" s="73"/>
      <c r="M322" s="24"/>
      <c r="N322" s="24"/>
      <c r="O322" s="24"/>
      <c r="P322" s="24"/>
      <c r="Q322" s="24"/>
      <c r="R322" s="24"/>
      <c r="S322" s="24"/>
      <c r="T322" s="24"/>
    </row>
    <row r="323" spans="1:20">
      <c r="A323" s="22"/>
      <c r="B323" s="22"/>
      <c r="C323" s="24"/>
      <c r="D323" s="24"/>
      <c r="E323" s="24"/>
      <c r="F323" s="24"/>
      <c r="G323" s="24"/>
      <c r="H323" s="24"/>
      <c r="I323" s="24"/>
      <c r="J323" s="24"/>
      <c r="K323" s="24"/>
      <c r="L323" s="73"/>
      <c r="M323" s="24"/>
      <c r="N323" s="24"/>
      <c r="O323" s="24"/>
      <c r="P323" s="24"/>
      <c r="Q323" s="24"/>
      <c r="R323" s="24"/>
      <c r="S323" s="24"/>
      <c r="T323" s="24"/>
    </row>
    <row r="324" spans="1:20">
      <c r="A324" s="22"/>
      <c r="B324" s="22"/>
      <c r="C324" s="24"/>
      <c r="D324" s="24"/>
      <c r="E324" s="24"/>
      <c r="F324" s="24"/>
      <c r="G324" s="24"/>
      <c r="H324" s="24"/>
      <c r="I324" s="24"/>
      <c r="J324" s="24"/>
      <c r="K324" s="24"/>
      <c r="L324" s="73"/>
      <c r="M324" s="24"/>
      <c r="N324" s="24"/>
      <c r="O324" s="24"/>
      <c r="P324" s="24"/>
      <c r="Q324" s="24"/>
      <c r="R324" s="24"/>
      <c r="S324" s="24"/>
      <c r="T324" s="24"/>
    </row>
    <row r="325" spans="1:20">
      <c r="A325" s="22"/>
      <c r="B325" s="22"/>
      <c r="C325" s="24"/>
      <c r="D325" s="24"/>
      <c r="E325" s="24"/>
      <c r="F325" s="24"/>
      <c r="G325" s="24"/>
      <c r="H325" s="24"/>
      <c r="I325" s="24"/>
      <c r="J325" s="24"/>
      <c r="K325" s="24"/>
      <c r="L325" s="73"/>
      <c r="M325" s="24"/>
      <c r="N325" s="24"/>
      <c r="O325" s="24"/>
      <c r="P325" s="24"/>
      <c r="Q325" s="24"/>
      <c r="R325" s="24"/>
      <c r="S325" s="24"/>
      <c r="T325" s="24"/>
    </row>
    <row r="326" spans="1:20">
      <c r="A326" s="22"/>
      <c r="B326" s="22"/>
      <c r="C326" s="24"/>
      <c r="D326" s="24"/>
      <c r="E326" s="24"/>
      <c r="F326" s="24"/>
      <c r="G326" s="24"/>
      <c r="H326" s="24"/>
      <c r="I326" s="24"/>
      <c r="J326" s="24"/>
      <c r="K326" s="24"/>
      <c r="L326" s="73"/>
      <c r="M326" s="24"/>
      <c r="N326" s="24"/>
      <c r="O326" s="24"/>
      <c r="P326" s="24"/>
      <c r="Q326" s="24"/>
      <c r="R326" s="24"/>
      <c r="S326" s="24"/>
      <c r="T326" s="24"/>
    </row>
    <row r="327" spans="1:20">
      <c r="A327" s="22"/>
      <c r="B327" s="22"/>
      <c r="C327" s="24"/>
      <c r="D327" s="24"/>
      <c r="E327" s="24"/>
      <c r="F327" s="24"/>
      <c r="G327" s="24"/>
      <c r="H327" s="24"/>
      <c r="I327" s="24"/>
      <c r="J327" s="24"/>
      <c r="K327" s="24"/>
      <c r="L327" s="73"/>
      <c r="M327" s="24"/>
      <c r="N327" s="24"/>
      <c r="O327" s="24"/>
      <c r="P327" s="24"/>
      <c r="Q327" s="24"/>
      <c r="R327" s="24"/>
      <c r="S327" s="24"/>
      <c r="T327" s="24"/>
    </row>
    <row r="328" spans="1:20">
      <c r="A328" s="22"/>
      <c r="B328" s="22"/>
      <c r="C328" s="24"/>
      <c r="D328" s="24"/>
      <c r="E328" s="24"/>
      <c r="F328" s="24"/>
      <c r="G328" s="24"/>
      <c r="H328" s="24"/>
      <c r="I328" s="24"/>
      <c r="J328" s="24"/>
      <c r="K328" s="24"/>
      <c r="L328" s="73"/>
      <c r="M328" s="24"/>
      <c r="N328" s="24"/>
      <c r="O328" s="24"/>
      <c r="P328" s="24"/>
      <c r="Q328" s="24"/>
      <c r="R328" s="24"/>
      <c r="S328" s="24"/>
      <c r="T328" s="24"/>
    </row>
    <row r="329" spans="1:20">
      <c r="A329" s="22"/>
      <c r="B329" s="22"/>
      <c r="C329" s="24"/>
      <c r="D329" s="24"/>
      <c r="E329" s="24"/>
      <c r="F329" s="24"/>
      <c r="G329" s="24"/>
      <c r="H329" s="24"/>
      <c r="I329" s="24"/>
      <c r="J329" s="24"/>
      <c r="K329" s="24"/>
      <c r="L329" s="73"/>
      <c r="M329" s="24"/>
      <c r="N329" s="24"/>
      <c r="O329" s="24"/>
      <c r="P329" s="24"/>
      <c r="Q329" s="24"/>
      <c r="R329" s="24"/>
      <c r="S329" s="24"/>
      <c r="T329" s="24"/>
    </row>
    <row r="330" spans="1:20">
      <c r="A330" s="22"/>
      <c r="B330" s="22"/>
      <c r="C330" s="24"/>
      <c r="D330" s="24"/>
      <c r="E330" s="24"/>
      <c r="F330" s="24"/>
      <c r="G330" s="24"/>
      <c r="H330" s="24"/>
      <c r="I330" s="24"/>
      <c r="J330" s="24"/>
      <c r="K330" s="24"/>
      <c r="L330" s="73"/>
      <c r="M330" s="24"/>
      <c r="N330" s="24"/>
      <c r="O330" s="24"/>
      <c r="P330" s="24"/>
      <c r="Q330" s="24"/>
      <c r="R330" s="24"/>
      <c r="S330" s="24"/>
      <c r="T330" s="24"/>
    </row>
    <row r="331" spans="1:20">
      <c r="A331" s="22"/>
      <c r="B331" s="22"/>
      <c r="C331" s="24"/>
      <c r="D331" s="24"/>
      <c r="E331" s="24"/>
      <c r="F331" s="24"/>
      <c r="G331" s="24"/>
      <c r="H331" s="24"/>
      <c r="I331" s="24"/>
      <c r="J331" s="24"/>
      <c r="K331" s="24"/>
      <c r="L331" s="73"/>
      <c r="M331" s="24"/>
      <c r="N331" s="24"/>
      <c r="O331" s="24"/>
      <c r="P331" s="24"/>
      <c r="Q331" s="24"/>
      <c r="R331" s="24"/>
      <c r="S331" s="24"/>
      <c r="T331" s="24"/>
    </row>
    <row r="332" spans="1:20">
      <c r="A332" s="22"/>
      <c r="B332" s="22"/>
      <c r="C332" s="24"/>
      <c r="D332" s="24"/>
      <c r="E332" s="24"/>
      <c r="F332" s="24"/>
      <c r="G332" s="24"/>
      <c r="H332" s="24"/>
      <c r="I332" s="24"/>
      <c r="J332" s="24"/>
      <c r="K332" s="24"/>
      <c r="L332" s="73"/>
      <c r="M332" s="24"/>
      <c r="N332" s="24"/>
      <c r="O332" s="24"/>
      <c r="P332" s="24"/>
      <c r="Q332" s="24"/>
      <c r="R332" s="24"/>
      <c r="S332" s="24"/>
      <c r="T332" s="24"/>
    </row>
    <row r="333" spans="1:20">
      <c r="A333" s="22"/>
      <c r="B333" s="22"/>
      <c r="C333" s="24"/>
      <c r="D333" s="24"/>
      <c r="E333" s="24"/>
      <c r="F333" s="24"/>
      <c r="G333" s="24"/>
      <c r="H333" s="24"/>
      <c r="I333" s="24"/>
      <c r="J333" s="24"/>
      <c r="K333" s="24"/>
      <c r="L333" s="73"/>
      <c r="M333" s="24"/>
      <c r="N333" s="24"/>
      <c r="O333" s="24"/>
      <c r="P333" s="24"/>
      <c r="Q333" s="24"/>
      <c r="R333" s="24"/>
      <c r="S333" s="24"/>
      <c r="T333" s="24"/>
    </row>
    <row r="334" spans="1:20">
      <c r="A334" s="22"/>
      <c r="B334" s="22"/>
      <c r="C334" s="24"/>
      <c r="D334" s="24"/>
      <c r="E334" s="24"/>
      <c r="F334" s="24"/>
      <c r="G334" s="24"/>
      <c r="H334" s="24"/>
      <c r="I334" s="24"/>
      <c r="J334" s="24"/>
      <c r="K334" s="24"/>
      <c r="L334" s="73"/>
      <c r="M334" s="24"/>
      <c r="N334" s="24"/>
      <c r="O334" s="24"/>
      <c r="P334" s="24"/>
      <c r="Q334" s="24"/>
      <c r="R334" s="24"/>
      <c r="S334" s="24"/>
      <c r="T334" s="24"/>
    </row>
    <row r="335" spans="1:20">
      <c r="A335" s="22"/>
      <c r="B335" s="22"/>
      <c r="C335" s="24"/>
      <c r="D335" s="24"/>
      <c r="E335" s="24"/>
      <c r="F335" s="24"/>
      <c r="G335" s="24"/>
      <c r="H335" s="24"/>
      <c r="I335" s="24"/>
      <c r="J335" s="24"/>
      <c r="K335" s="24"/>
      <c r="L335" s="73"/>
      <c r="M335" s="24"/>
      <c r="N335" s="24"/>
      <c r="O335" s="24"/>
      <c r="P335" s="24"/>
      <c r="Q335" s="24"/>
      <c r="R335" s="24"/>
      <c r="S335" s="24"/>
      <c r="T335" s="24"/>
    </row>
    <row r="336" spans="1:20">
      <c r="A336" s="22"/>
      <c r="B336" s="22"/>
      <c r="C336" s="24"/>
      <c r="D336" s="24"/>
      <c r="E336" s="24"/>
      <c r="F336" s="24"/>
      <c r="G336" s="24"/>
      <c r="H336" s="24"/>
      <c r="I336" s="24"/>
      <c r="J336" s="24"/>
      <c r="K336" s="24"/>
      <c r="L336" s="73"/>
      <c r="M336" s="24"/>
      <c r="N336" s="24"/>
      <c r="O336" s="24"/>
      <c r="P336" s="24"/>
      <c r="Q336" s="24"/>
      <c r="R336" s="24"/>
      <c r="S336" s="24"/>
      <c r="T336" s="24"/>
    </row>
    <row r="337" spans="1:20">
      <c r="A337" s="22"/>
      <c r="B337" s="22"/>
      <c r="C337" s="24"/>
      <c r="D337" s="24"/>
      <c r="E337" s="24"/>
      <c r="F337" s="24"/>
      <c r="G337" s="24"/>
      <c r="H337" s="24"/>
      <c r="I337" s="24"/>
      <c r="J337" s="24"/>
      <c r="K337" s="24"/>
      <c r="L337" s="73"/>
      <c r="M337" s="24"/>
      <c r="N337" s="24"/>
      <c r="O337" s="24"/>
      <c r="P337" s="24"/>
      <c r="Q337" s="24"/>
      <c r="R337" s="24"/>
      <c r="S337" s="24"/>
      <c r="T337" s="24"/>
    </row>
    <row r="338" spans="1:20">
      <c r="A338" s="22"/>
      <c r="B338" s="22"/>
      <c r="C338" s="24"/>
      <c r="D338" s="24"/>
      <c r="E338" s="24"/>
      <c r="F338" s="24"/>
      <c r="G338" s="24"/>
      <c r="H338" s="24"/>
      <c r="I338" s="24"/>
      <c r="J338" s="24"/>
      <c r="K338" s="24"/>
      <c r="L338" s="73"/>
      <c r="M338" s="24"/>
      <c r="N338" s="24"/>
      <c r="O338" s="24"/>
      <c r="P338" s="24"/>
      <c r="Q338" s="24"/>
      <c r="R338" s="24"/>
      <c r="S338" s="24"/>
      <c r="T338" s="24"/>
    </row>
    <row r="339" spans="1:20">
      <c r="A339" s="22"/>
      <c r="B339" s="22"/>
      <c r="C339" s="24"/>
      <c r="D339" s="24"/>
      <c r="E339" s="24"/>
      <c r="F339" s="24"/>
      <c r="G339" s="24"/>
      <c r="H339" s="24"/>
      <c r="I339" s="24"/>
      <c r="J339" s="24"/>
      <c r="K339" s="24"/>
      <c r="L339" s="73"/>
      <c r="M339" s="24"/>
      <c r="N339" s="24"/>
      <c r="O339" s="24"/>
      <c r="P339" s="24"/>
      <c r="Q339" s="24"/>
      <c r="R339" s="24"/>
      <c r="S339" s="24"/>
      <c r="T339" s="24"/>
    </row>
    <row r="340" spans="1:20">
      <c r="A340" s="22"/>
      <c r="B340" s="22"/>
      <c r="C340" s="24"/>
      <c r="D340" s="24"/>
      <c r="E340" s="24"/>
      <c r="F340" s="24"/>
      <c r="G340" s="24"/>
      <c r="H340" s="24"/>
      <c r="I340" s="24"/>
      <c r="J340" s="24"/>
      <c r="K340" s="24"/>
      <c r="L340" s="73"/>
      <c r="M340" s="24"/>
      <c r="N340" s="24"/>
      <c r="O340" s="24"/>
      <c r="P340" s="24"/>
      <c r="Q340" s="24"/>
      <c r="R340" s="24"/>
      <c r="S340" s="24"/>
      <c r="T340" s="24"/>
    </row>
    <row r="341" spans="1:20">
      <c r="A341" s="22"/>
      <c r="B341" s="22"/>
      <c r="C341" s="24"/>
      <c r="D341" s="24"/>
      <c r="E341" s="24"/>
      <c r="F341" s="24"/>
      <c r="G341" s="24"/>
      <c r="H341" s="24"/>
      <c r="I341" s="24"/>
      <c r="J341" s="24"/>
      <c r="K341" s="24"/>
      <c r="L341" s="73"/>
      <c r="M341" s="24"/>
      <c r="N341" s="24"/>
      <c r="O341" s="24"/>
      <c r="P341" s="24"/>
      <c r="Q341" s="24"/>
      <c r="R341" s="24"/>
      <c r="S341" s="24"/>
      <c r="T341" s="24"/>
    </row>
    <row r="342" spans="1:20">
      <c r="A342" s="22"/>
      <c r="B342" s="22"/>
      <c r="C342" s="24"/>
      <c r="D342" s="24"/>
      <c r="E342" s="24"/>
      <c r="F342" s="24"/>
      <c r="G342" s="24"/>
      <c r="H342" s="24"/>
      <c r="I342" s="24"/>
      <c r="J342" s="24"/>
      <c r="K342" s="24"/>
      <c r="L342" s="73"/>
      <c r="M342" s="24"/>
      <c r="N342" s="24"/>
      <c r="O342" s="24"/>
      <c r="P342" s="24"/>
      <c r="Q342" s="24"/>
      <c r="R342" s="24"/>
      <c r="S342" s="24"/>
      <c r="T342" s="24"/>
    </row>
    <row r="343" spans="1:20">
      <c r="A343" s="22"/>
      <c r="B343" s="22"/>
      <c r="C343" s="24"/>
      <c r="D343" s="24"/>
      <c r="E343" s="24"/>
      <c r="F343" s="24"/>
      <c r="G343" s="24"/>
      <c r="H343" s="24"/>
      <c r="I343" s="24"/>
      <c r="J343" s="24"/>
      <c r="K343" s="24"/>
      <c r="L343" s="73"/>
      <c r="M343" s="24"/>
      <c r="N343" s="24"/>
      <c r="O343" s="24"/>
      <c r="P343" s="24"/>
      <c r="Q343" s="24"/>
      <c r="R343" s="24"/>
      <c r="S343" s="24"/>
      <c r="T343" s="24"/>
    </row>
    <row r="344" spans="1:20">
      <c r="A344" s="22"/>
      <c r="B344" s="22"/>
      <c r="C344" s="24"/>
      <c r="D344" s="24"/>
      <c r="E344" s="24"/>
      <c r="F344" s="24"/>
      <c r="G344" s="24"/>
      <c r="H344" s="24"/>
      <c r="I344" s="24"/>
      <c r="J344" s="24"/>
      <c r="K344" s="24"/>
      <c r="L344" s="73"/>
      <c r="M344" s="24"/>
      <c r="N344" s="24"/>
      <c r="O344" s="24"/>
      <c r="P344" s="24"/>
      <c r="Q344" s="24"/>
      <c r="R344" s="24"/>
      <c r="S344" s="24"/>
      <c r="T344" s="24"/>
    </row>
    <row r="345" spans="1:20">
      <c r="A345" s="22"/>
      <c r="B345" s="22"/>
      <c r="C345" s="24"/>
      <c r="D345" s="24"/>
      <c r="E345" s="24"/>
      <c r="F345" s="24"/>
      <c r="G345" s="24"/>
      <c r="H345" s="24"/>
      <c r="I345" s="24"/>
      <c r="J345" s="24"/>
      <c r="K345" s="24"/>
      <c r="L345" s="73"/>
      <c r="M345" s="24"/>
      <c r="N345" s="24"/>
      <c r="O345" s="24"/>
      <c r="P345" s="24"/>
      <c r="Q345" s="24"/>
      <c r="R345" s="24"/>
      <c r="S345" s="24"/>
      <c r="T345" s="24"/>
    </row>
    <row r="346" spans="1:20">
      <c r="A346" s="22"/>
      <c r="B346" s="22"/>
      <c r="C346" s="24"/>
      <c r="D346" s="24"/>
      <c r="E346" s="24"/>
      <c r="F346" s="24"/>
      <c r="G346" s="24"/>
      <c r="H346" s="24"/>
      <c r="I346" s="24"/>
      <c r="J346" s="24"/>
      <c r="K346" s="24"/>
      <c r="L346" s="73"/>
      <c r="M346" s="24"/>
      <c r="N346" s="24"/>
      <c r="O346" s="24"/>
      <c r="P346" s="24"/>
      <c r="Q346" s="24"/>
      <c r="R346" s="24"/>
      <c r="S346" s="24"/>
      <c r="T346" s="24"/>
    </row>
    <row r="347" spans="1:20">
      <c r="A347" s="22"/>
      <c r="B347" s="22"/>
      <c r="C347" s="24"/>
      <c r="D347" s="24"/>
      <c r="E347" s="24"/>
      <c r="F347" s="24"/>
      <c r="G347" s="24"/>
      <c r="H347" s="24"/>
      <c r="I347" s="24"/>
      <c r="J347" s="24"/>
      <c r="K347" s="24"/>
      <c r="L347" s="73"/>
      <c r="M347" s="24"/>
      <c r="N347" s="24"/>
      <c r="O347" s="24"/>
      <c r="P347" s="24"/>
      <c r="Q347" s="24"/>
      <c r="R347" s="24"/>
      <c r="S347" s="24"/>
      <c r="T347" s="24"/>
    </row>
    <row r="348" spans="1:20">
      <c r="A348" s="22"/>
      <c r="B348" s="22"/>
      <c r="C348" s="24"/>
      <c r="D348" s="24"/>
      <c r="E348" s="24"/>
      <c r="F348" s="24"/>
      <c r="G348" s="24"/>
      <c r="H348" s="24"/>
      <c r="I348" s="24"/>
      <c r="J348" s="24"/>
      <c r="K348" s="24"/>
      <c r="L348" s="73"/>
      <c r="M348" s="24"/>
      <c r="N348" s="24"/>
      <c r="O348" s="24"/>
      <c r="P348" s="24"/>
      <c r="Q348" s="24"/>
      <c r="R348" s="24"/>
      <c r="S348" s="24"/>
      <c r="T348" s="24"/>
    </row>
    <row r="349" spans="1:20">
      <c r="A349" s="22"/>
      <c r="B349" s="22"/>
      <c r="C349" s="24"/>
      <c r="D349" s="24"/>
      <c r="E349" s="24"/>
      <c r="F349" s="24"/>
      <c r="G349" s="24"/>
      <c r="H349" s="24"/>
      <c r="I349" s="24"/>
      <c r="J349" s="24"/>
      <c r="K349" s="24"/>
      <c r="L349" s="73"/>
      <c r="M349" s="24"/>
      <c r="N349" s="24"/>
      <c r="O349" s="24"/>
      <c r="P349" s="24"/>
      <c r="Q349" s="24"/>
      <c r="R349" s="24"/>
      <c r="S349" s="24"/>
      <c r="T349" s="24"/>
    </row>
    <row r="350" spans="1:20">
      <c r="A350" s="22"/>
      <c r="B350" s="22"/>
      <c r="C350" s="24"/>
      <c r="D350" s="24"/>
      <c r="E350" s="24"/>
      <c r="F350" s="24"/>
      <c r="G350" s="24"/>
      <c r="H350" s="24"/>
      <c r="I350" s="24"/>
      <c r="J350" s="24"/>
      <c r="K350" s="24"/>
      <c r="L350" s="73"/>
      <c r="M350" s="24"/>
      <c r="N350" s="24"/>
      <c r="O350" s="24"/>
      <c r="P350" s="24"/>
      <c r="Q350" s="24"/>
      <c r="R350" s="24"/>
      <c r="S350" s="24"/>
      <c r="T350" s="24"/>
    </row>
    <row r="351" spans="1:20">
      <c r="A351" s="22"/>
      <c r="B351" s="22"/>
      <c r="C351" s="24"/>
      <c r="D351" s="24"/>
      <c r="E351" s="24"/>
      <c r="F351" s="24"/>
      <c r="G351" s="24"/>
      <c r="H351" s="24"/>
      <c r="I351" s="24"/>
      <c r="J351" s="24"/>
      <c r="K351" s="24"/>
      <c r="L351" s="73"/>
      <c r="M351" s="24"/>
      <c r="N351" s="24"/>
      <c r="O351" s="24"/>
      <c r="P351" s="24"/>
      <c r="Q351" s="24"/>
      <c r="R351" s="24"/>
      <c r="S351" s="24"/>
      <c r="T351" s="24"/>
    </row>
    <row r="352" spans="1:20">
      <c r="A352" s="22"/>
      <c r="B352" s="22"/>
      <c r="C352" s="24"/>
      <c r="D352" s="24"/>
      <c r="E352" s="24"/>
      <c r="F352" s="24"/>
      <c r="G352" s="24"/>
      <c r="H352" s="24"/>
      <c r="I352" s="24"/>
      <c r="J352" s="24"/>
      <c r="K352" s="24"/>
      <c r="L352" s="73"/>
      <c r="M352" s="24"/>
      <c r="N352" s="24"/>
      <c r="O352" s="24"/>
      <c r="P352" s="24"/>
      <c r="Q352" s="24"/>
      <c r="R352" s="24"/>
      <c r="S352" s="24"/>
      <c r="T352" s="24"/>
    </row>
    <row r="353" spans="1:20">
      <c r="A353" s="22"/>
      <c r="B353" s="22"/>
      <c r="C353" s="24"/>
      <c r="D353" s="24"/>
      <c r="E353" s="24"/>
      <c r="F353" s="24"/>
      <c r="G353" s="24"/>
      <c r="H353" s="24"/>
      <c r="I353" s="24"/>
      <c r="J353" s="24"/>
      <c r="K353" s="24"/>
      <c r="L353" s="73"/>
      <c r="M353" s="24"/>
      <c r="N353" s="24"/>
      <c r="O353" s="24"/>
      <c r="P353" s="24"/>
      <c r="Q353" s="24"/>
      <c r="R353" s="24"/>
      <c r="S353" s="24"/>
      <c r="T353" s="24"/>
    </row>
    <row r="354" spans="1:20">
      <c r="A354" s="22"/>
      <c r="B354" s="22"/>
      <c r="C354" s="24"/>
      <c r="D354" s="24"/>
      <c r="E354" s="24"/>
      <c r="F354" s="24"/>
      <c r="G354" s="24"/>
      <c r="H354" s="24"/>
      <c r="I354" s="24"/>
      <c r="J354" s="24"/>
      <c r="K354" s="24"/>
      <c r="L354" s="73"/>
      <c r="M354" s="24"/>
      <c r="N354" s="24"/>
      <c r="O354" s="24"/>
      <c r="P354" s="24"/>
      <c r="Q354" s="24"/>
      <c r="R354" s="24"/>
      <c r="S354" s="24"/>
      <c r="T354" s="24"/>
    </row>
    <row r="355" spans="1:20">
      <c r="A355" s="22"/>
      <c r="B355" s="22"/>
      <c r="C355" s="24"/>
      <c r="D355" s="24"/>
      <c r="E355" s="24"/>
      <c r="F355" s="24"/>
      <c r="G355" s="24"/>
      <c r="H355" s="24"/>
      <c r="I355" s="24"/>
      <c r="J355" s="24"/>
      <c r="K355" s="24"/>
      <c r="L355" s="73"/>
      <c r="M355" s="24"/>
      <c r="N355" s="24"/>
      <c r="O355" s="24"/>
      <c r="P355" s="24"/>
      <c r="Q355" s="24"/>
      <c r="R355" s="24"/>
      <c r="S355" s="24"/>
      <c r="T355" s="24"/>
    </row>
    <row r="356" spans="1:20">
      <c r="A356" s="22"/>
      <c r="B356" s="22"/>
      <c r="C356" s="24"/>
      <c r="D356" s="24"/>
      <c r="E356" s="24"/>
      <c r="F356" s="24"/>
      <c r="G356" s="24"/>
      <c r="H356" s="24"/>
      <c r="I356" s="24"/>
      <c r="J356" s="24"/>
      <c r="K356" s="24"/>
      <c r="L356" s="73"/>
      <c r="M356" s="24"/>
      <c r="N356" s="24"/>
      <c r="O356" s="24"/>
      <c r="P356" s="24"/>
      <c r="Q356" s="24"/>
      <c r="R356" s="24"/>
      <c r="S356" s="24"/>
      <c r="T356" s="24"/>
    </row>
    <row r="357" spans="1:20">
      <c r="A357" s="22"/>
      <c r="B357" s="22"/>
      <c r="C357" s="24"/>
      <c r="D357" s="24"/>
      <c r="E357" s="24"/>
      <c r="F357" s="24"/>
      <c r="G357" s="24"/>
      <c r="H357" s="24"/>
      <c r="I357" s="24"/>
      <c r="J357" s="24"/>
      <c r="K357" s="24"/>
      <c r="L357" s="73"/>
      <c r="M357" s="24"/>
      <c r="N357" s="24"/>
      <c r="O357" s="24"/>
      <c r="P357" s="24"/>
      <c r="Q357" s="24"/>
      <c r="R357" s="24"/>
      <c r="S357" s="24"/>
      <c r="T357" s="24"/>
    </row>
    <row r="358" spans="1:20">
      <c r="A358" s="22"/>
      <c r="B358" s="22"/>
      <c r="C358" s="24"/>
      <c r="D358" s="24"/>
      <c r="E358" s="24"/>
      <c r="F358" s="24"/>
      <c r="G358" s="24"/>
      <c r="H358" s="24"/>
      <c r="I358" s="24"/>
      <c r="J358" s="24"/>
      <c r="K358" s="24"/>
      <c r="L358" s="73"/>
      <c r="M358" s="24"/>
      <c r="N358" s="24"/>
      <c r="O358" s="24"/>
      <c r="P358" s="24"/>
      <c r="Q358" s="24"/>
      <c r="R358" s="24"/>
      <c r="S358" s="24"/>
      <c r="T358" s="24"/>
    </row>
    <row r="359" spans="1:20">
      <c r="A359" s="22"/>
      <c r="B359" s="22"/>
      <c r="C359" s="24"/>
      <c r="D359" s="24"/>
      <c r="E359" s="24"/>
      <c r="F359" s="24"/>
      <c r="G359" s="24"/>
      <c r="H359" s="24"/>
      <c r="I359" s="24"/>
      <c r="J359" s="24"/>
      <c r="K359" s="24"/>
      <c r="L359" s="73"/>
      <c r="M359" s="24"/>
      <c r="N359" s="24"/>
      <c r="O359" s="24"/>
      <c r="P359" s="24"/>
      <c r="Q359" s="24"/>
      <c r="R359" s="24"/>
      <c r="S359" s="24"/>
      <c r="T359" s="24"/>
    </row>
    <row r="360" spans="1:20">
      <c r="A360" s="22"/>
      <c r="B360" s="22"/>
      <c r="C360" s="24"/>
      <c r="D360" s="24"/>
      <c r="E360" s="24"/>
      <c r="F360" s="24"/>
      <c r="G360" s="24"/>
      <c r="H360" s="24"/>
      <c r="I360" s="24"/>
      <c r="J360" s="24"/>
      <c r="K360" s="24"/>
      <c r="L360" s="73"/>
      <c r="M360" s="24"/>
      <c r="N360" s="24"/>
      <c r="O360" s="24"/>
      <c r="P360" s="24"/>
      <c r="Q360" s="24"/>
      <c r="R360" s="24"/>
      <c r="S360" s="24"/>
      <c r="T360" s="24"/>
    </row>
    <row r="361" spans="1:20">
      <c r="A361" s="22"/>
      <c r="B361" s="22"/>
      <c r="C361" s="24"/>
      <c r="D361" s="24"/>
      <c r="E361" s="24"/>
      <c r="F361" s="24"/>
      <c r="G361" s="24"/>
      <c r="H361" s="24"/>
      <c r="I361" s="24"/>
      <c r="J361" s="24"/>
      <c r="K361" s="24"/>
      <c r="L361" s="73"/>
      <c r="M361" s="24"/>
      <c r="N361" s="24"/>
      <c r="O361" s="24"/>
      <c r="P361" s="24"/>
      <c r="Q361" s="24"/>
      <c r="R361" s="24"/>
      <c r="S361" s="24"/>
      <c r="T361" s="24"/>
    </row>
    <row r="362" spans="1:20">
      <c r="A362" s="22"/>
      <c r="B362" s="22"/>
      <c r="C362" s="24"/>
      <c r="D362" s="24"/>
      <c r="E362" s="24"/>
      <c r="F362" s="24"/>
      <c r="G362" s="24"/>
      <c r="H362" s="24"/>
      <c r="I362" s="24"/>
      <c r="J362" s="24"/>
      <c r="K362" s="24"/>
      <c r="L362" s="73"/>
      <c r="M362" s="24"/>
      <c r="N362" s="24"/>
      <c r="O362" s="24"/>
      <c r="P362" s="24"/>
      <c r="Q362" s="24"/>
      <c r="R362" s="24"/>
      <c r="S362" s="24"/>
      <c r="T362" s="24"/>
    </row>
    <row r="363" spans="1:20">
      <c r="A363" s="22"/>
      <c r="B363" s="22"/>
      <c r="C363" s="24"/>
      <c r="D363" s="24"/>
      <c r="E363" s="24"/>
      <c r="F363" s="24"/>
      <c r="G363" s="24"/>
      <c r="H363" s="24"/>
      <c r="I363" s="24"/>
      <c r="J363" s="24"/>
      <c r="K363" s="24"/>
      <c r="L363" s="73"/>
      <c r="M363" s="24"/>
      <c r="N363" s="24"/>
      <c r="O363" s="24"/>
      <c r="P363" s="24"/>
      <c r="Q363" s="24"/>
      <c r="R363" s="24"/>
      <c r="S363" s="24"/>
      <c r="T363" s="24"/>
    </row>
    <row r="364" spans="1:20">
      <c r="A364" s="22"/>
      <c r="B364" s="22"/>
      <c r="C364" s="24"/>
      <c r="D364" s="24"/>
      <c r="E364" s="24"/>
      <c r="F364" s="24"/>
      <c r="G364" s="24"/>
      <c r="H364" s="24"/>
      <c r="I364" s="24"/>
      <c r="J364" s="24"/>
      <c r="K364" s="24"/>
      <c r="L364" s="73"/>
      <c r="M364" s="24"/>
      <c r="N364" s="24"/>
      <c r="O364" s="24"/>
      <c r="P364" s="24"/>
      <c r="Q364" s="24"/>
      <c r="R364" s="24"/>
      <c r="S364" s="24"/>
      <c r="T364" s="24"/>
    </row>
    <row r="365" spans="1:20">
      <c r="A365" s="22"/>
      <c r="B365" s="22"/>
      <c r="C365" s="24"/>
      <c r="D365" s="24"/>
      <c r="E365" s="24"/>
      <c r="F365" s="24"/>
      <c r="G365" s="24"/>
      <c r="H365" s="24"/>
      <c r="I365" s="24"/>
      <c r="J365" s="24"/>
      <c r="K365" s="24"/>
      <c r="L365" s="73"/>
      <c r="M365" s="24"/>
      <c r="N365" s="24"/>
      <c r="O365" s="24"/>
      <c r="P365" s="24"/>
      <c r="Q365" s="24"/>
      <c r="R365" s="24"/>
      <c r="S365" s="24"/>
      <c r="T365" s="24"/>
    </row>
    <row r="366" spans="1:20">
      <c r="A366" s="22"/>
      <c r="B366" s="22"/>
      <c r="C366" s="24"/>
      <c r="D366" s="24"/>
      <c r="E366" s="24"/>
      <c r="F366" s="24"/>
      <c r="G366" s="24"/>
      <c r="H366" s="24"/>
      <c r="I366" s="24"/>
      <c r="J366" s="24"/>
      <c r="K366" s="24"/>
      <c r="L366" s="73"/>
      <c r="M366" s="24"/>
      <c r="N366" s="24"/>
      <c r="O366" s="24"/>
      <c r="P366" s="24"/>
      <c r="Q366" s="24"/>
      <c r="R366" s="24"/>
      <c r="S366" s="24"/>
      <c r="T366" s="24"/>
    </row>
    <row r="367" spans="1:20">
      <c r="A367" s="22"/>
      <c r="B367" s="22"/>
      <c r="C367" s="24"/>
      <c r="D367" s="24"/>
      <c r="E367" s="24"/>
      <c r="F367" s="24"/>
      <c r="G367" s="24"/>
      <c r="H367" s="24"/>
      <c r="I367" s="24"/>
      <c r="J367" s="24"/>
      <c r="K367" s="24"/>
      <c r="L367" s="73"/>
      <c r="M367" s="24"/>
      <c r="N367" s="24"/>
      <c r="O367" s="24"/>
      <c r="P367" s="24"/>
      <c r="Q367" s="24"/>
      <c r="R367" s="24"/>
      <c r="S367" s="24"/>
      <c r="T367" s="24"/>
    </row>
    <row r="368" spans="1:20">
      <c r="A368" s="22"/>
      <c r="B368" s="22"/>
      <c r="C368" s="24"/>
      <c r="D368" s="24"/>
      <c r="E368" s="24"/>
      <c r="F368" s="24"/>
      <c r="G368" s="24"/>
      <c r="H368" s="24"/>
      <c r="I368" s="24"/>
      <c r="J368" s="24"/>
      <c r="K368" s="24"/>
      <c r="L368" s="73"/>
      <c r="M368" s="24"/>
      <c r="N368" s="24"/>
      <c r="O368" s="24"/>
      <c r="P368" s="24"/>
      <c r="Q368" s="24"/>
      <c r="R368" s="24"/>
      <c r="S368" s="24"/>
      <c r="T368" s="24"/>
    </row>
    <row r="369" spans="1:20">
      <c r="A369" s="22"/>
      <c r="B369" s="22"/>
      <c r="C369" s="24"/>
      <c r="D369" s="24"/>
      <c r="E369" s="24"/>
      <c r="F369" s="24"/>
      <c r="G369" s="24"/>
      <c r="H369" s="24"/>
      <c r="I369" s="24"/>
      <c r="J369" s="24"/>
      <c r="K369" s="24"/>
      <c r="L369" s="73"/>
      <c r="M369" s="24"/>
      <c r="N369" s="24"/>
      <c r="O369" s="24"/>
      <c r="P369" s="24"/>
      <c r="Q369" s="24"/>
      <c r="R369" s="24"/>
      <c r="S369" s="24"/>
      <c r="T369" s="24"/>
    </row>
    <row r="370" spans="1:20">
      <c r="A370" s="22"/>
      <c r="B370" s="22"/>
      <c r="C370" s="24"/>
      <c r="D370" s="24"/>
      <c r="E370" s="24"/>
      <c r="F370" s="24"/>
      <c r="G370" s="24"/>
      <c r="H370" s="24"/>
      <c r="I370" s="24"/>
      <c r="J370" s="24"/>
      <c r="K370" s="24"/>
      <c r="L370" s="73"/>
      <c r="M370" s="24"/>
      <c r="N370" s="24"/>
      <c r="O370" s="24"/>
      <c r="P370" s="24"/>
      <c r="Q370" s="24"/>
      <c r="R370" s="24"/>
      <c r="S370" s="24"/>
      <c r="T370" s="24"/>
    </row>
    <row r="371" spans="1:20">
      <c r="A371" s="22"/>
      <c r="B371" s="22"/>
      <c r="C371" s="24"/>
      <c r="D371" s="24"/>
      <c r="E371" s="24"/>
      <c r="F371" s="24"/>
      <c r="G371" s="24"/>
      <c r="H371" s="24"/>
      <c r="I371" s="24"/>
      <c r="J371" s="24"/>
      <c r="K371" s="24"/>
      <c r="L371" s="73"/>
      <c r="M371" s="24"/>
      <c r="N371" s="24"/>
      <c r="O371" s="24"/>
      <c r="P371" s="24"/>
      <c r="Q371" s="24"/>
      <c r="R371" s="24"/>
      <c r="S371" s="24"/>
      <c r="T371" s="24"/>
    </row>
    <row r="372" spans="1:20">
      <c r="A372" s="22"/>
      <c r="B372" s="22"/>
      <c r="C372" s="24"/>
      <c r="D372" s="24"/>
      <c r="E372" s="24"/>
      <c r="F372" s="24"/>
      <c r="G372" s="24"/>
      <c r="H372" s="24"/>
      <c r="I372" s="24"/>
      <c r="J372" s="24"/>
      <c r="K372" s="24"/>
      <c r="L372" s="73"/>
      <c r="M372" s="24"/>
      <c r="N372" s="24"/>
      <c r="O372" s="24"/>
      <c r="P372" s="24"/>
      <c r="Q372" s="24"/>
      <c r="R372" s="24"/>
      <c r="S372" s="24"/>
      <c r="T372" s="24"/>
    </row>
    <row r="373" spans="1:20">
      <c r="A373" s="22"/>
      <c r="B373" s="22"/>
      <c r="C373" s="24"/>
      <c r="D373" s="24"/>
      <c r="E373" s="24"/>
      <c r="F373" s="24"/>
      <c r="G373" s="24"/>
      <c r="H373" s="24"/>
      <c r="I373" s="24"/>
      <c r="J373" s="24"/>
      <c r="K373" s="24"/>
      <c r="L373" s="73"/>
      <c r="M373" s="24"/>
      <c r="N373" s="24"/>
      <c r="O373" s="24"/>
      <c r="P373" s="24"/>
      <c r="Q373" s="24"/>
      <c r="R373" s="24"/>
      <c r="S373" s="24"/>
      <c r="T373" s="24"/>
    </row>
    <row r="374" spans="1:20">
      <c r="A374" s="22"/>
      <c r="B374" s="22"/>
      <c r="C374" s="24"/>
      <c r="D374" s="24"/>
      <c r="E374" s="24"/>
      <c r="F374" s="24"/>
      <c r="G374" s="24"/>
      <c r="H374" s="24"/>
      <c r="I374" s="24"/>
      <c r="J374" s="24"/>
      <c r="K374" s="24"/>
      <c r="L374" s="73"/>
      <c r="M374" s="24"/>
      <c r="N374" s="24"/>
      <c r="O374" s="24"/>
      <c r="P374" s="24"/>
      <c r="Q374" s="24"/>
      <c r="R374" s="24"/>
      <c r="S374" s="24"/>
      <c r="T374" s="24"/>
    </row>
    <row r="375" spans="1:20">
      <c r="A375" s="22"/>
      <c r="B375" s="22"/>
      <c r="C375" s="24"/>
      <c r="D375" s="24"/>
      <c r="E375" s="24"/>
      <c r="F375" s="24"/>
      <c r="G375" s="24"/>
      <c r="H375" s="24"/>
      <c r="I375" s="24"/>
      <c r="J375" s="24"/>
      <c r="K375" s="24"/>
      <c r="L375" s="73"/>
      <c r="M375" s="24"/>
      <c r="N375" s="24"/>
      <c r="O375" s="24"/>
      <c r="P375" s="24"/>
      <c r="Q375" s="24"/>
      <c r="R375" s="24"/>
      <c r="S375" s="24"/>
      <c r="T375" s="24"/>
    </row>
    <row r="376" spans="1:20">
      <c r="A376" s="22"/>
      <c r="B376" s="22"/>
      <c r="C376" s="24"/>
      <c r="D376" s="24"/>
      <c r="E376" s="24"/>
      <c r="F376" s="24"/>
      <c r="G376" s="24"/>
      <c r="H376" s="24"/>
      <c r="I376" s="24"/>
      <c r="J376" s="24"/>
      <c r="K376" s="24"/>
      <c r="L376" s="73"/>
      <c r="M376" s="24"/>
      <c r="N376" s="24"/>
      <c r="O376" s="24"/>
      <c r="P376" s="24"/>
      <c r="Q376" s="24"/>
      <c r="R376" s="24"/>
      <c r="S376" s="24"/>
      <c r="T376" s="24"/>
    </row>
    <row r="377" spans="1:20">
      <c r="A377" s="22"/>
      <c r="B377" s="22"/>
      <c r="C377" s="24"/>
      <c r="D377" s="24"/>
      <c r="E377" s="24"/>
      <c r="F377" s="24"/>
      <c r="G377" s="24"/>
      <c r="H377" s="24"/>
      <c r="I377" s="24"/>
      <c r="J377" s="24"/>
      <c r="K377" s="24"/>
      <c r="L377" s="73"/>
      <c r="M377" s="24"/>
      <c r="N377" s="24"/>
      <c r="O377" s="24"/>
      <c r="P377" s="24"/>
      <c r="Q377" s="24"/>
      <c r="R377" s="24"/>
      <c r="S377" s="24"/>
      <c r="T377" s="24"/>
    </row>
    <row r="378" spans="1:20">
      <c r="A378" s="22"/>
      <c r="B378" s="22"/>
      <c r="C378" s="24"/>
      <c r="D378" s="24"/>
      <c r="E378" s="24"/>
      <c r="F378" s="24"/>
      <c r="G378" s="24"/>
      <c r="H378" s="24"/>
      <c r="I378" s="24"/>
      <c r="J378" s="24"/>
      <c r="K378" s="24"/>
      <c r="L378" s="73"/>
      <c r="M378" s="24"/>
      <c r="N378" s="24"/>
      <c r="O378" s="24"/>
      <c r="P378" s="24"/>
      <c r="Q378" s="24"/>
      <c r="R378" s="24"/>
      <c r="S378" s="24"/>
      <c r="T378" s="24"/>
    </row>
    <row r="379" spans="1:20">
      <c r="A379" s="22"/>
      <c r="B379" s="22"/>
      <c r="C379" s="24"/>
      <c r="D379" s="24"/>
      <c r="E379" s="24"/>
      <c r="F379" s="24"/>
      <c r="G379" s="24"/>
      <c r="H379" s="24"/>
      <c r="I379" s="24"/>
      <c r="J379" s="24"/>
      <c r="K379" s="24"/>
      <c r="L379" s="73"/>
      <c r="M379" s="24"/>
      <c r="N379" s="24"/>
      <c r="O379" s="24"/>
      <c r="P379" s="24"/>
      <c r="Q379" s="24"/>
      <c r="R379" s="24"/>
      <c r="S379" s="24"/>
      <c r="T379" s="24"/>
    </row>
    <row r="380" spans="1:20">
      <c r="A380" s="22"/>
      <c r="B380" s="22"/>
      <c r="C380" s="24"/>
      <c r="D380" s="24"/>
      <c r="E380" s="24"/>
      <c r="F380" s="24"/>
      <c r="G380" s="24"/>
      <c r="H380" s="24"/>
      <c r="I380" s="24"/>
      <c r="J380" s="24"/>
      <c r="K380" s="24"/>
      <c r="L380" s="73"/>
      <c r="M380" s="24"/>
      <c r="N380" s="24"/>
      <c r="O380" s="24"/>
      <c r="P380" s="24"/>
      <c r="Q380" s="24"/>
      <c r="R380" s="24"/>
      <c r="S380" s="24"/>
      <c r="T380" s="24"/>
    </row>
    <row r="381" spans="1:20">
      <c r="A381" s="22"/>
      <c r="B381" s="22"/>
      <c r="C381" s="24"/>
      <c r="D381" s="24"/>
      <c r="E381" s="24"/>
      <c r="F381" s="24"/>
      <c r="G381" s="24"/>
      <c r="H381" s="24"/>
      <c r="I381" s="24"/>
      <c r="J381" s="24"/>
      <c r="K381" s="24"/>
      <c r="L381" s="73"/>
      <c r="M381" s="24"/>
      <c r="N381" s="24"/>
      <c r="O381" s="24"/>
      <c r="P381" s="24"/>
      <c r="Q381" s="24"/>
      <c r="R381" s="24"/>
      <c r="S381" s="24"/>
      <c r="T381" s="24"/>
    </row>
    <row r="382" spans="1:20">
      <c r="A382" s="22"/>
      <c r="B382" s="22"/>
      <c r="C382" s="24"/>
      <c r="D382" s="24"/>
      <c r="E382" s="24"/>
      <c r="F382" s="24"/>
      <c r="G382" s="24"/>
      <c r="H382" s="24"/>
      <c r="I382" s="24"/>
      <c r="J382" s="24"/>
      <c r="K382" s="24"/>
      <c r="L382" s="73"/>
      <c r="M382" s="24"/>
      <c r="N382" s="24"/>
      <c r="O382" s="24"/>
      <c r="P382" s="24"/>
      <c r="Q382" s="24"/>
      <c r="R382" s="24"/>
      <c r="S382" s="24"/>
      <c r="T382" s="24"/>
    </row>
    <row r="383" spans="1:20">
      <c r="A383" s="22"/>
      <c r="B383" s="22"/>
      <c r="C383" s="24"/>
      <c r="D383" s="24"/>
      <c r="E383" s="24"/>
      <c r="F383" s="24"/>
      <c r="G383" s="24"/>
      <c r="H383" s="24"/>
      <c r="I383" s="24"/>
      <c r="J383" s="24"/>
      <c r="K383" s="24"/>
      <c r="L383" s="73"/>
      <c r="M383" s="24"/>
      <c r="N383" s="24"/>
      <c r="O383" s="24"/>
      <c r="P383" s="24"/>
      <c r="Q383" s="24"/>
      <c r="R383" s="24"/>
      <c r="S383" s="24"/>
      <c r="T383" s="24"/>
    </row>
    <row r="384" spans="1:20">
      <c r="A384" s="22"/>
      <c r="B384" s="22"/>
      <c r="C384" s="24"/>
      <c r="D384" s="24"/>
      <c r="E384" s="24"/>
      <c r="F384" s="24"/>
      <c r="G384" s="24"/>
      <c r="H384" s="24"/>
      <c r="I384" s="24"/>
      <c r="J384" s="24"/>
      <c r="K384" s="24"/>
      <c r="L384" s="73"/>
      <c r="M384" s="24"/>
      <c r="N384" s="24"/>
      <c r="O384" s="24"/>
      <c r="P384" s="24"/>
      <c r="Q384" s="24"/>
      <c r="R384" s="24"/>
      <c r="S384" s="24"/>
      <c r="T384" s="24"/>
    </row>
    <row r="385" spans="1:20">
      <c r="A385" s="22"/>
      <c r="B385" s="22"/>
      <c r="C385" s="24"/>
      <c r="D385" s="24"/>
      <c r="E385" s="24"/>
      <c r="F385" s="24"/>
      <c r="G385" s="24"/>
      <c r="H385" s="24"/>
      <c r="I385" s="24"/>
      <c r="J385" s="24"/>
      <c r="K385" s="24"/>
      <c r="L385" s="73"/>
      <c r="M385" s="24"/>
      <c r="N385" s="24"/>
      <c r="O385" s="24"/>
      <c r="P385" s="24"/>
      <c r="Q385" s="24"/>
      <c r="R385" s="24"/>
      <c r="S385" s="24"/>
      <c r="T385" s="24"/>
    </row>
    <row r="386" spans="1:20">
      <c r="A386" s="22"/>
      <c r="B386" s="22"/>
      <c r="C386" s="24"/>
      <c r="D386" s="24"/>
      <c r="E386" s="24"/>
      <c r="F386" s="24"/>
      <c r="G386" s="24"/>
      <c r="H386" s="24"/>
      <c r="I386" s="24"/>
      <c r="J386" s="24"/>
      <c r="K386" s="24"/>
      <c r="L386" s="73"/>
      <c r="M386" s="24"/>
      <c r="N386" s="24"/>
      <c r="O386" s="24"/>
      <c r="P386" s="24"/>
      <c r="Q386" s="24"/>
      <c r="R386" s="24"/>
      <c r="S386" s="24"/>
      <c r="T386" s="24"/>
    </row>
    <row r="387" spans="1:20">
      <c r="A387" s="22"/>
      <c r="B387" s="22"/>
      <c r="C387" s="24"/>
      <c r="D387" s="24"/>
      <c r="E387" s="24"/>
      <c r="F387" s="24"/>
      <c r="G387" s="24"/>
      <c r="H387" s="24"/>
      <c r="I387" s="24"/>
      <c r="J387" s="24"/>
      <c r="K387" s="24"/>
      <c r="L387" s="73"/>
      <c r="M387" s="24"/>
      <c r="N387" s="24"/>
      <c r="O387" s="24"/>
      <c r="P387" s="24"/>
      <c r="Q387" s="24"/>
      <c r="R387" s="24"/>
      <c r="S387" s="24"/>
      <c r="T387" s="24"/>
    </row>
    <row r="388" spans="1:20">
      <c r="A388" s="22"/>
      <c r="B388" s="22"/>
      <c r="C388" s="24"/>
      <c r="D388" s="24"/>
      <c r="E388" s="24"/>
      <c r="F388" s="24"/>
      <c r="G388" s="24"/>
      <c r="H388" s="24"/>
      <c r="I388" s="24"/>
      <c r="J388" s="24"/>
      <c r="K388" s="24"/>
      <c r="L388" s="73"/>
      <c r="M388" s="24"/>
      <c r="N388" s="24"/>
      <c r="O388" s="24"/>
      <c r="P388" s="24"/>
      <c r="Q388" s="24"/>
      <c r="R388" s="24"/>
      <c r="S388" s="24"/>
      <c r="T388" s="24"/>
    </row>
    <row r="389" spans="1:20">
      <c r="A389" s="22"/>
      <c r="B389" s="22"/>
      <c r="C389" s="24"/>
      <c r="D389" s="24"/>
      <c r="E389" s="24"/>
      <c r="F389" s="24"/>
      <c r="G389" s="24"/>
      <c r="H389" s="24"/>
      <c r="I389" s="24"/>
      <c r="J389" s="24"/>
      <c r="K389" s="24"/>
      <c r="L389" s="73"/>
      <c r="M389" s="24"/>
      <c r="N389" s="24"/>
      <c r="O389" s="24"/>
      <c r="P389" s="24"/>
      <c r="Q389" s="24"/>
      <c r="R389" s="24"/>
      <c r="S389" s="24"/>
      <c r="T389" s="24"/>
    </row>
    <row r="390" spans="1:20">
      <c r="A390" s="22"/>
      <c r="B390" s="22"/>
      <c r="C390" s="24"/>
      <c r="D390" s="24"/>
      <c r="E390" s="24"/>
      <c r="F390" s="24"/>
      <c r="G390" s="24"/>
      <c r="H390" s="24"/>
      <c r="I390" s="24"/>
      <c r="J390" s="24"/>
      <c r="K390" s="24"/>
      <c r="L390" s="73"/>
      <c r="M390" s="24"/>
      <c r="N390" s="24"/>
      <c r="O390" s="24"/>
      <c r="P390" s="24"/>
      <c r="Q390" s="24"/>
      <c r="R390" s="24"/>
      <c r="S390" s="24"/>
      <c r="T390" s="24"/>
    </row>
    <row r="391" spans="1:20">
      <c r="A391" s="22"/>
      <c r="B391" s="22"/>
      <c r="C391" s="24"/>
      <c r="D391" s="24"/>
      <c r="E391" s="24"/>
      <c r="F391" s="24"/>
      <c r="G391" s="24"/>
      <c r="H391" s="24"/>
      <c r="I391" s="24"/>
      <c r="J391" s="24"/>
      <c r="K391" s="24"/>
      <c r="L391" s="73"/>
      <c r="M391" s="24"/>
      <c r="N391" s="24"/>
      <c r="O391" s="24"/>
      <c r="P391" s="24"/>
      <c r="Q391" s="24"/>
      <c r="R391" s="24"/>
      <c r="S391" s="24"/>
      <c r="T391" s="24"/>
    </row>
    <row r="392" spans="1:20">
      <c r="A392" s="22"/>
      <c r="B392" s="22"/>
      <c r="C392" s="24"/>
      <c r="D392" s="24"/>
      <c r="E392" s="24"/>
      <c r="F392" s="24"/>
      <c r="G392" s="24"/>
      <c r="H392" s="24"/>
      <c r="I392" s="24"/>
      <c r="J392" s="24"/>
      <c r="K392" s="24"/>
      <c r="L392" s="73"/>
      <c r="M392" s="24"/>
      <c r="N392" s="24"/>
      <c r="O392" s="24"/>
      <c r="P392" s="24"/>
      <c r="Q392" s="24"/>
      <c r="R392" s="24"/>
      <c r="S392" s="24"/>
      <c r="T392" s="24"/>
    </row>
    <row r="393" spans="1:20">
      <c r="A393" s="22"/>
      <c r="B393" s="22"/>
      <c r="C393" s="24"/>
      <c r="D393" s="24"/>
      <c r="E393" s="24"/>
      <c r="F393" s="24"/>
      <c r="G393" s="24"/>
      <c r="H393" s="24"/>
      <c r="I393" s="24"/>
      <c r="J393" s="24"/>
      <c r="K393" s="24"/>
      <c r="L393" s="73"/>
      <c r="M393" s="24"/>
      <c r="N393" s="24"/>
      <c r="O393" s="24"/>
      <c r="P393" s="24"/>
      <c r="Q393" s="24"/>
      <c r="R393" s="24"/>
      <c r="S393" s="24"/>
      <c r="T393" s="24"/>
    </row>
    <row r="394" spans="1:20">
      <c r="A394" s="22"/>
      <c r="B394" s="22"/>
      <c r="C394" s="24"/>
      <c r="D394" s="24"/>
      <c r="E394" s="24"/>
      <c r="F394" s="24"/>
      <c r="G394" s="24"/>
      <c r="H394" s="24"/>
      <c r="I394" s="24"/>
      <c r="J394" s="24"/>
      <c r="K394" s="24"/>
      <c r="L394" s="73"/>
      <c r="M394" s="24"/>
      <c r="N394" s="24"/>
      <c r="O394" s="24"/>
      <c r="P394" s="24"/>
      <c r="Q394" s="24"/>
      <c r="R394" s="24"/>
      <c r="S394" s="24"/>
      <c r="T394" s="24"/>
    </row>
    <row r="395" spans="1:20">
      <c r="A395" s="22"/>
      <c r="B395" s="22"/>
      <c r="C395" s="24"/>
      <c r="D395" s="24"/>
      <c r="E395" s="24"/>
      <c r="F395" s="24"/>
      <c r="G395" s="24"/>
      <c r="H395" s="24"/>
      <c r="I395" s="24"/>
      <c r="J395" s="24"/>
      <c r="K395" s="24"/>
      <c r="L395" s="73"/>
      <c r="M395" s="24"/>
      <c r="N395" s="24"/>
      <c r="O395" s="24"/>
      <c r="P395" s="24"/>
      <c r="Q395" s="24"/>
      <c r="R395" s="24"/>
      <c r="S395" s="24"/>
      <c r="T395" s="24"/>
    </row>
    <row r="396" spans="1:20">
      <c r="A396" s="22"/>
      <c r="B396" s="22"/>
      <c r="C396" s="24"/>
      <c r="D396" s="24"/>
      <c r="E396" s="24"/>
      <c r="F396" s="24"/>
      <c r="G396" s="24"/>
      <c r="H396" s="24"/>
      <c r="I396" s="24"/>
      <c r="J396" s="24"/>
      <c r="K396" s="24"/>
      <c r="L396" s="73"/>
      <c r="M396" s="24"/>
      <c r="N396" s="24"/>
      <c r="O396" s="24"/>
      <c r="P396" s="24"/>
      <c r="Q396" s="24"/>
      <c r="R396" s="24"/>
      <c r="S396" s="24"/>
      <c r="T396" s="24"/>
    </row>
    <row r="397" spans="1:20">
      <c r="A397" s="22"/>
      <c r="B397" s="22"/>
      <c r="C397" s="24"/>
      <c r="D397" s="24"/>
      <c r="E397" s="24"/>
      <c r="F397" s="24"/>
      <c r="G397" s="24"/>
      <c r="H397" s="24"/>
      <c r="I397" s="24"/>
      <c r="J397" s="24"/>
      <c r="K397" s="24"/>
      <c r="L397" s="73"/>
      <c r="M397" s="24"/>
      <c r="N397" s="24"/>
      <c r="O397" s="24"/>
      <c r="P397" s="24"/>
      <c r="Q397" s="24"/>
      <c r="R397" s="24"/>
      <c r="S397" s="24"/>
      <c r="T397" s="24"/>
    </row>
    <row r="398" spans="1:20">
      <c r="A398" s="22"/>
      <c r="B398" s="22"/>
      <c r="C398" s="24"/>
      <c r="D398" s="24"/>
      <c r="E398" s="24"/>
      <c r="F398" s="24"/>
      <c r="G398" s="24"/>
      <c r="H398" s="24"/>
      <c r="I398" s="24"/>
      <c r="J398" s="24"/>
      <c r="K398" s="24"/>
      <c r="L398" s="73"/>
      <c r="M398" s="24"/>
      <c r="N398" s="24"/>
      <c r="O398" s="24"/>
      <c r="P398" s="24"/>
      <c r="Q398" s="24"/>
      <c r="R398" s="24"/>
      <c r="S398" s="24"/>
      <c r="T398" s="24"/>
    </row>
    <row r="399" spans="1:20">
      <c r="A399" s="22"/>
      <c r="B399" s="22"/>
      <c r="C399" s="24"/>
      <c r="D399" s="24"/>
      <c r="E399" s="24"/>
      <c r="F399" s="24"/>
      <c r="G399" s="24"/>
      <c r="H399" s="24"/>
      <c r="I399" s="24"/>
      <c r="J399" s="24"/>
      <c r="K399" s="24"/>
      <c r="L399" s="73"/>
      <c r="M399" s="24"/>
      <c r="N399" s="24"/>
      <c r="O399" s="24"/>
      <c r="P399" s="24"/>
      <c r="Q399" s="24"/>
      <c r="R399" s="24"/>
      <c r="S399" s="24"/>
      <c r="T399" s="24"/>
    </row>
    <row r="400" spans="1:20">
      <c r="A400" s="22"/>
      <c r="B400" s="22"/>
      <c r="C400" s="24"/>
      <c r="D400" s="24"/>
      <c r="E400" s="24"/>
      <c r="F400" s="24"/>
      <c r="G400" s="24"/>
      <c r="H400" s="24"/>
      <c r="I400" s="24"/>
      <c r="J400" s="24"/>
      <c r="K400" s="24"/>
      <c r="L400" s="73"/>
      <c r="M400" s="24"/>
      <c r="N400" s="24"/>
      <c r="O400" s="24"/>
      <c r="P400" s="24"/>
      <c r="Q400" s="24"/>
      <c r="R400" s="24"/>
      <c r="S400" s="24"/>
      <c r="T400" s="24"/>
    </row>
    <row r="401" spans="1:20">
      <c r="A401" s="22"/>
      <c r="B401" s="22"/>
      <c r="C401" s="24"/>
      <c r="D401" s="24"/>
      <c r="E401" s="24"/>
      <c r="F401" s="24"/>
      <c r="G401" s="24"/>
      <c r="H401" s="24"/>
      <c r="I401" s="24"/>
      <c r="J401" s="24"/>
      <c r="K401" s="24"/>
      <c r="L401" s="73"/>
      <c r="M401" s="24"/>
      <c r="N401" s="24"/>
      <c r="O401" s="24"/>
      <c r="P401" s="24"/>
      <c r="Q401" s="24"/>
      <c r="R401" s="24"/>
      <c r="S401" s="24"/>
      <c r="T401" s="24"/>
    </row>
    <row r="402" spans="1:20">
      <c r="A402" s="22"/>
      <c r="B402" s="22"/>
      <c r="C402" s="24"/>
      <c r="D402" s="24"/>
      <c r="E402" s="24"/>
      <c r="F402" s="24"/>
      <c r="G402" s="24"/>
      <c r="H402" s="24"/>
      <c r="I402" s="24"/>
      <c r="J402" s="24"/>
      <c r="K402" s="24"/>
      <c r="L402" s="73"/>
      <c r="M402" s="24"/>
      <c r="N402" s="24"/>
      <c r="O402" s="24"/>
      <c r="P402" s="24"/>
      <c r="Q402" s="24"/>
      <c r="R402" s="24"/>
      <c r="S402" s="24"/>
      <c r="T402" s="24"/>
    </row>
    <row r="403" spans="1:20">
      <c r="A403" s="22"/>
      <c r="B403" s="22"/>
      <c r="C403" s="24"/>
      <c r="D403" s="24"/>
      <c r="E403" s="24"/>
      <c r="F403" s="24"/>
      <c r="G403" s="24"/>
      <c r="H403" s="24"/>
      <c r="I403" s="24"/>
      <c r="J403" s="24"/>
      <c r="K403" s="24"/>
      <c r="L403" s="73"/>
      <c r="M403" s="24"/>
      <c r="N403" s="24"/>
      <c r="O403" s="24"/>
      <c r="P403" s="24"/>
      <c r="Q403" s="24"/>
      <c r="R403" s="24"/>
      <c r="S403" s="24"/>
      <c r="T403" s="24"/>
    </row>
    <row r="404" spans="1:20">
      <c r="A404" s="22"/>
      <c r="B404" s="22"/>
      <c r="C404" s="24"/>
      <c r="D404" s="24"/>
      <c r="E404" s="24"/>
      <c r="F404" s="24"/>
      <c r="G404" s="24"/>
      <c r="H404" s="24"/>
      <c r="I404" s="24"/>
      <c r="J404" s="24"/>
      <c r="K404" s="24"/>
      <c r="L404" s="73"/>
      <c r="M404" s="24"/>
      <c r="N404" s="24"/>
      <c r="O404" s="24"/>
      <c r="P404" s="24"/>
      <c r="Q404" s="24"/>
      <c r="R404" s="24"/>
      <c r="S404" s="24"/>
      <c r="T404" s="24"/>
    </row>
    <row r="405" spans="1:20">
      <c r="A405" s="22"/>
      <c r="B405" s="22"/>
      <c r="C405" s="24"/>
      <c r="D405" s="24"/>
      <c r="E405" s="24"/>
      <c r="F405" s="24"/>
      <c r="G405" s="24"/>
      <c r="H405" s="24"/>
      <c r="I405" s="24"/>
      <c r="J405" s="24"/>
      <c r="K405" s="24"/>
      <c r="L405" s="73"/>
      <c r="M405" s="24"/>
      <c r="N405" s="24"/>
      <c r="O405" s="24"/>
      <c r="P405" s="24"/>
      <c r="Q405" s="24"/>
      <c r="R405" s="24"/>
      <c r="S405" s="24"/>
      <c r="T405" s="24"/>
    </row>
    <row r="406" spans="1:20">
      <c r="A406" s="22"/>
      <c r="B406" s="22"/>
      <c r="C406" s="24"/>
      <c r="D406" s="24"/>
      <c r="E406" s="24"/>
      <c r="F406" s="24"/>
      <c r="G406" s="24"/>
      <c r="H406" s="24"/>
      <c r="I406" s="24"/>
      <c r="J406" s="24"/>
      <c r="K406" s="24"/>
      <c r="L406" s="73"/>
      <c r="M406" s="24"/>
      <c r="N406" s="24"/>
      <c r="O406" s="24"/>
      <c r="P406" s="24"/>
      <c r="Q406" s="24"/>
      <c r="R406" s="24"/>
      <c r="S406" s="24"/>
      <c r="T406" s="24"/>
    </row>
    <row r="407" spans="1:20">
      <c r="A407" s="22"/>
      <c r="B407" s="22"/>
      <c r="C407" s="24"/>
      <c r="D407" s="24"/>
      <c r="E407" s="24"/>
      <c r="F407" s="24"/>
      <c r="G407" s="24"/>
      <c r="H407" s="24"/>
      <c r="I407" s="24"/>
      <c r="J407" s="24"/>
      <c r="K407" s="24"/>
      <c r="L407" s="73"/>
      <c r="M407" s="24"/>
      <c r="N407" s="24"/>
      <c r="O407" s="24"/>
      <c r="P407" s="24"/>
      <c r="Q407" s="24"/>
      <c r="R407" s="24"/>
      <c r="S407" s="24"/>
      <c r="T407" s="24"/>
    </row>
    <row r="408" spans="1:20">
      <c r="A408" s="22"/>
      <c r="B408" s="22"/>
      <c r="C408" s="24"/>
      <c r="D408" s="24"/>
      <c r="E408" s="24"/>
      <c r="F408" s="24"/>
      <c r="G408" s="24"/>
      <c r="H408" s="24"/>
      <c r="I408" s="24"/>
      <c r="J408" s="24"/>
      <c r="K408" s="24"/>
      <c r="L408" s="73"/>
      <c r="M408" s="24"/>
      <c r="N408" s="24"/>
      <c r="O408" s="24"/>
      <c r="P408" s="24"/>
      <c r="Q408" s="24"/>
      <c r="R408" s="24"/>
      <c r="S408" s="24"/>
      <c r="T408" s="24"/>
    </row>
    <row r="409" spans="1:20">
      <c r="A409" s="22"/>
      <c r="B409" s="22"/>
      <c r="C409" s="24"/>
      <c r="D409" s="24"/>
      <c r="E409" s="24"/>
      <c r="F409" s="24"/>
      <c r="G409" s="24"/>
      <c r="H409" s="24"/>
      <c r="I409" s="24"/>
      <c r="J409" s="24"/>
      <c r="K409" s="24"/>
      <c r="L409" s="73"/>
      <c r="M409" s="24"/>
      <c r="N409" s="24"/>
      <c r="O409" s="24"/>
      <c r="P409" s="24"/>
      <c r="Q409" s="24"/>
      <c r="R409" s="24"/>
      <c r="S409" s="24"/>
      <c r="T409" s="24"/>
    </row>
    <row r="410" spans="1:20">
      <c r="A410" s="22"/>
      <c r="B410" s="22"/>
      <c r="C410" s="24"/>
      <c r="D410" s="24"/>
      <c r="E410" s="24"/>
      <c r="F410" s="24"/>
      <c r="G410" s="24"/>
      <c r="H410" s="24"/>
      <c r="I410" s="24"/>
      <c r="J410" s="24"/>
      <c r="K410" s="24"/>
      <c r="L410" s="73"/>
      <c r="M410" s="24"/>
      <c r="N410" s="24"/>
      <c r="O410" s="24"/>
      <c r="P410" s="24"/>
      <c r="Q410" s="24"/>
      <c r="R410" s="24"/>
      <c r="S410" s="24"/>
      <c r="T410" s="24"/>
    </row>
    <row r="411" spans="1:20">
      <c r="A411" s="22"/>
      <c r="B411" s="22"/>
      <c r="C411" s="24"/>
      <c r="D411" s="24"/>
      <c r="E411" s="24"/>
      <c r="F411" s="24"/>
      <c r="G411" s="24"/>
      <c r="H411" s="24"/>
      <c r="I411" s="24"/>
      <c r="J411" s="24"/>
      <c r="K411" s="24"/>
      <c r="L411" s="73"/>
      <c r="M411" s="24"/>
      <c r="N411" s="24"/>
      <c r="O411" s="24"/>
      <c r="P411" s="24"/>
      <c r="Q411" s="24"/>
      <c r="R411" s="24"/>
      <c r="S411" s="24"/>
      <c r="T411" s="24"/>
    </row>
    <row r="412" spans="1:20">
      <c r="A412" s="22"/>
      <c r="B412" s="22"/>
      <c r="C412" s="24"/>
      <c r="D412" s="24"/>
      <c r="E412" s="24"/>
      <c r="F412" s="24"/>
      <c r="G412" s="24"/>
      <c r="H412" s="24"/>
      <c r="I412" s="24"/>
      <c r="J412" s="24"/>
      <c r="K412" s="24"/>
      <c r="L412" s="73"/>
      <c r="M412" s="24"/>
      <c r="N412" s="24"/>
      <c r="O412" s="24"/>
      <c r="P412" s="24"/>
      <c r="Q412" s="24"/>
      <c r="R412" s="24"/>
      <c r="S412" s="24"/>
      <c r="T412" s="24"/>
    </row>
    <row r="413" spans="1:20">
      <c r="A413" s="22"/>
      <c r="B413" s="22"/>
      <c r="C413" s="24"/>
      <c r="D413" s="24"/>
      <c r="E413" s="24"/>
      <c r="F413" s="24"/>
      <c r="G413" s="24"/>
      <c r="H413" s="24"/>
      <c r="I413" s="24"/>
      <c r="J413" s="24"/>
      <c r="K413" s="24"/>
      <c r="L413" s="73"/>
      <c r="M413" s="24"/>
      <c r="N413" s="24"/>
      <c r="O413" s="24"/>
      <c r="P413" s="24"/>
      <c r="Q413" s="24"/>
      <c r="R413" s="24"/>
      <c r="S413" s="24"/>
      <c r="T413" s="24"/>
    </row>
    <row r="414" spans="1:20">
      <c r="A414" s="22"/>
      <c r="B414" s="22"/>
      <c r="C414" s="24"/>
      <c r="D414" s="24"/>
      <c r="E414" s="24"/>
      <c r="F414" s="24"/>
      <c r="G414" s="24"/>
      <c r="H414" s="24"/>
      <c r="I414" s="24"/>
      <c r="J414" s="24"/>
      <c r="K414" s="24"/>
      <c r="L414" s="73"/>
      <c r="M414" s="24"/>
      <c r="N414" s="24"/>
      <c r="O414" s="24"/>
      <c r="P414" s="24"/>
      <c r="Q414" s="24"/>
      <c r="R414" s="24"/>
      <c r="S414" s="24"/>
      <c r="T414" s="24"/>
    </row>
    <row r="415" spans="1:20">
      <c r="A415" s="22"/>
      <c r="B415" s="22"/>
      <c r="C415" s="24"/>
      <c r="D415" s="24"/>
      <c r="E415" s="24"/>
      <c r="F415" s="24"/>
      <c r="G415" s="24"/>
      <c r="H415" s="24"/>
      <c r="I415" s="24"/>
      <c r="J415" s="24"/>
      <c r="K415" s="24"/>
      <c r="L415" s="73"/>
      <c r="M415" s="24"/>
      <c r="N415" s="24"/>
      <c r="O415" s="24"/>
      <c r="P415" s="24"/>
      <c r="Q415" s="24"/>
      <c r="R415" s="24"/>
      <c r="S415" s="24"/>
      <c r="T415" s="24"/>
    </row>
    <row r="416" spans="1:20">
      <c r="A416" s="22"/>
      <c r="B416" s="22"/>
      <c r="C416" s="24"/>
      <c r="D416" s="24"/>
      <c r="E416" s="24"/>
      <c r="F416" s="24"/>
      <c r="G416" s="24"/>
      <c r="H416" s="24"/>
      <c r="I416" s="24"/>
      <c r="J416" s="24"/>
      <c r="K416" s="24"/>
      <c r="L416" s="73"/>
      <c r="M416" s="24"/>
      <c r="N416" s="24"/>
      <c r="O416" s="24"/>
      <c r="P416" s="24"/>
      <c r="Q416" s="24"/>
      <c r="R416" s="24"/>
      <c r="S416" s="24"/>
      <c r="T416" s="24"/>
    </row>
    <row r="417" spans="1:20">
      <c r="A417" s="22"/>
      <c r="B417" s="22"/>
      <c r="C417" s="24"/>
      <c r="D417" s="24"/>
      <c r="E417" s="24"/>
      <c r="F417" s="24"/>
      <c r="G417" s="24"/>
      <c r="H417" s="24"/>
      <c r="I417" s="24"/>
      <c r="J417" s="24"/>
      <c r="K417" s="24"/>
      <c r="L417" s="73"/>
      <c r="M417" s="24"/>
      <c r="N417" s="24"/>
      <c r="O417" s="24"/>
      <c r="P417" s="24"/>
      <c r="Q417" s="24"/>
      <c r="R417" s="24"/>
      <c r="S417" s="24"/>
      <c r="T417" s="24"/>
    </row>
    <row r="418" spans="1:20">
      <c r="A418" s="22"/>
      <c r="B418" s="22"/>
      <c r="C418" s="24"/>
      <c r="D418" s="24"/>
      <c r="E418" s="24"/>
      <c r="F418" s="24"/>
      <c r="G418" s="24"/>
      <c r="H418" s="24"/>
      <c r="I418" s="24"/>
      <c r="J418" s="24"/>
      <c r="K418" s="24"/>
      <c r="L418" s="73"/>
      <c r="M418" s="24"/>
      <c r="N418" s="24"/>
      <c r="O418" s="24"/>
      <c r="P418" s="24"/>
      <c r="Q418" s="24"/>
      <c r="R418" s="24"/>
      <c r="S418" s="24"/>
      <c r="T418" s="24"/>
    </row>
    <row r="419" spans="1:20">
      <c r="A419" s="22"/>
      <c r="B419" s="22"/>
      <c r="C419" s="24"/>
      <c r="D419" s="24"/>
      <c r="E419" s="24"/>
      <c r="F419" s="24"/>
      <c r="G419" s="24"/>
      <c r="H419" s="24"/>
      <c r="I419" s="24"/>
      <c r="J419" s="24"/>
      <c r="K419" s="24"/>
      <c r="L419" s="73"/>
      <c r="M419" s="24"/>
      <c r="N419" s="24"/>
      <c r="O419" s="24"/>
      <c r="P419" s="24"/>
      <c r="Q419" s="24"/>
      <c r="R419" s="24"/>
      <c r="S419" s="24"/>
      <c r="T419" s="24"/>
    </row>
    <row r="420" spans="1:20">
      <c r="A420" s="22"/>
      <c r="B420" s="22"/>
      <c r="C420" s="24"/>
      <c r="D420" s="24"/>
      <c r="E420" s="24"/>
      <c r="F420" s="24"/>
      <c r="G420" s="24"/>
      <c r="H420" s="24"/>
      <c r="I420" s="24"/>
      <c r="J420" s="24"/>
      <c r="K420" s="24"/>
      <c r="L420" s="73"/>
      <c r="M420" s="24"/>
      <c r="N420" s="24"/>
      <c r="O420" s="24"/>
      <c r="P420" s="24"/>
      <c r="Q420" s="24"/>
      <c r="R420" s="24"/>
      <c r="S420" s="24"/>
      <c r="T420" s="24"/>
    </row>
    <row r="421" spans="1:20">
      <c r="A421" s="22"/>
      <c r="B421" s="22"/>
      <c r="C421" s="24"/>
      <c r="D421" s="24"/>
      <c r="E421" s="24"/>
      <c r="F421" s="24"/>
      <c r="G421" s="24"/>
      <c r="H421" s="24"/>
      <c r="I421" s="24"/>
      <c r="J421" s="24"/>
      <c r="K421" s="24"/>
      <c r="L421" s="73"/>
      <c r="M421" s="24"/>
      <c r="N421" s="24"/>
      <c r="O421" s="24"/>
      <c r="P421" s="24"/>
      <c r="Q421" s="24"/>
      <c r="R421" s="24"/>
      <c r="S421" s="24"/>
      <c r="T421" s="24"/>
    </row>
    <row r="422" spans="1:20">
      <c r="A422" s="22"/>
      <c r="B422" s="22"/>
      <c r="C422" s="24"/>
      <c r="D422" s="24"/>
      <c r="E422" s="24"/>
      <c r="F422" s="24"/>
      <c r="G422" s="24"/>
      <c r="H422" s="24"/>
      <c r="I422" s="24"/>
      <c r="J422" s="24"/>
      <c r="K422" s="24"/>
      <c r="L422" s="73"/>
      <c r="M422" s="24"/>
      <c r="N422" s="24"/>
      <c r="O422" s="24"/>
      <c r="P422" s="24"/>
      <c r="Q422" s="24"/>
      <c r="R422" s="24"/>
      <c r="S422" s="24"/>
      <c r="T422" s="24"/>
    </row>
    <row r="423" spans="1:20">
      <c r="A423" s="22"/>
      <c r="B423" s="22"/>
      <c r="C423" s="24"/>
      <c r="D423" s="24"/>
      <c r="E423" s="24"/>
      <c r="F423" s="24"/>
      <c r="G423" s="24"/>
      <c r="H423" s="24"/>
      <c r="I423" s="24"/>
      <c r="J423" s="24"/>
      <c r="K423" s="24"/>
      <c r="L423" s="73"/>
      <c r="M423" s="24"/>
      <c r="N423" s="24"/>
      <c r="O423" s="24"/>
      <c r="P423" s="24"/>
      <c r="Q423" s="24"/>
      <c r="R423" s="24"/>
      <c r="S423" s="24"/>
      <c r="T423" s="24"/>
    </row>
    <row r="424" spans="1:20">
      <c r="A424" s="22"/>
      <c r="B424" s="22"/>
      <c r="C424" s="24"/>
      <c r="D424" s="24"/>
      <c r="E424" s="24"/>
      <c r="F424" s="24"/>
      <c r="G424" s="24"/>
      <c r="H424" s="24"/>
      <c r="I424" s="24"/>
      <c r="J424" s="24"/>
      <c r="K424" s="24"/>
      <c r="L424" s="73"/>
      <c r="M424" s="24"/>
      <c r="N424" s="24"/>
      <c r="O424" s="24"/>
      <c r="P424" s="24"/>
      <c r="Q424" s="24"/>
      <c r="R424" s="24"/>
      <c r="S424" s="24"/>
      <c r="T424" s="24"/>
    </row>
    <row r="425" spans="1:20">
      <c r="A425" s="22"/>
      <c r="B425" s="22"/>
      <c r="C425" s="24"/>
      <c r="D425" s="24"/>
      <c r="E425" s="24"/>
      <c r="F425" s="24"/>
      <c r="G425" s="24"/>
      <c r="H425" s="24"/>
      <c r="I425" s="24"/>
      <c r="J425" s="24"/>
      <c r="K425" s="24"/>
      <c r="L425" s="73"/>
      <c r="M425" s="24"/>
      <c r="N425" s="24"/>
      <c r="O425" s="24"/>
      <c r="P425" s="24"/>
      <c r="Q425" s="24"/>
      <c r="R425" s="24"/>
      <c r="S425" s="24"/>
      <c r="T425" s="24"/>
    </row>
    <row r="426" spans="1:20">
      <c r="A426" s="22"/>
      <c r="B426" s="22"/>
      <c r="C426" s="24"/>
      <c r="D426" s="24"/>
      <c r="E426" s="24"/>
      <c r="F426" s="24"/>
      <c r="G426" s="24"/>
      <c r="H426" s="24"/>
      <c r="I426" s="24"/>
      <c r="J426" s="24"/>
      <c r="K426" s="24"/>
      <c r="L426" s="73"/>
      <c r="M426" s="24"/>
      <c r="N426" s="24"/>
      <c r="O426" s="24"/>
      <c r="P426" s="24"/>
      <c r="Q426" s="24"/>
      <c r="R426" s="24"/>
      <c r="S426" s="24"/>
      <c r="T426" s="24"/>
    </row>
    <row r="427" spans="1:20">
      <c r="A427" s="22"/>
      <c r="B427" s="22"/>
      <c r="C427" s="24"/>
      <c r="D427" s="24"/>
      <c r="E427" s="24"/>
      <c r="F427" s="24"/>
      <c r="G427" s="24"/>
      <c r="H427" s="24"/>
      <c r="I427" s="24"/>
      <c r="J427" s="24"/>
      <c r="K427" s="24"/>
      <c r="L427" s="73"/>
      <c r="M427" s="24"/>
      <c r="N427" s="24"/>
      <c r="O427" s="24"/>
      <c r="P427" s="24"/>
      <c r="Q427" s="24"/>
      <c r="R427" s="24"/>
      <c r="S427" s="24"/>
      <c r="T427" s="24"/>
    </row>
    <row r="428" spans="1:20">
      <c r="A428" s="22"/>
      <c r="B428" s="22"/>
      <c r="C428" s="24"/>
      <c r="D428" s="24"/>
      <c r="E428" s="24"/>
      <c r="F428" s="24"/>
      <c r="G428" s="24"/>
      <c r="H428" s="24"/>
      <c r="I428" s="24"/>
      <c r="J428" s="24"/>
      <c r="K428" s="24"/>
      <c r="L428" s="73"/>
      <c r="M428" s="24"/>
      <c r="N428" s="24"/>
      <c r="O428" s="24"/>
      <c r="P428" s="24"/>
      <c r="Q428" s="24"/>
      <c r="R428" s="24"/>
      <c r="S428" s="24"/>
      <c r="T428" s="24"/>
    </row>
    <row r="429" spans="1:20">
      <c r="A429" s="22"/>
      <c r="B429" s="22"/>
      <c r="C429" s="24"/>
      <c r="D429" s="24"/>
      <c r="E429" s="24"/>
      <c r="F429" s="24"/>
      <c r="G429" s="24"/>
      <c r="H429" s="24"/>
      <c r="I429" s="24"/>
      <c r="J429" s="24"/>
      <c r="K429" s="24"/>
      <c r="L429" s="73"/>
      <c r="M429" s="24"/>
      <c r="N429" s="24"/>
      <c r="O429" s="24"/>
      <c r="P429" s="24"/>
      <c r="Q429" s="24"/>
      <c r="R429" s="24"/>
      <c r="S429" s="24"/>
      <c r="T429" s="24"/>
    </row>
    <row r="430" spans="1:20">
      <c r="A430" s="22"/>
      <c r="B430" s="22"/>
      <c r="C430" s="24"/>
      <c r="D430" s="24"/>
      <c r="E430" s="24"/>
      <c r="F430" s="24"/>
      <c r="G430" s="24"/>
      <c r="H430" s="24"/>
      <c r="I430" s="24"/>
      <c r="J430" s="24"/>
      <c r="K430" s="24"/>
      <c r="L430" s="73"/>
      <c r="M430" s="24"/>
      <c r="N430" s="24"/>
      <c r="O430" s="24"/>
      <c r="P430" s="24"/>
      <c r="Q430" s="24"/>
      <c r="R430" s="24"/>
      <c r="S430" s="24"/>
      <c r="T430" s="24"/>
    </row>
    <row r="431" spans="1:20">
      <c r="A431" s="22"/>
      <c r="B431" s="22"/>
      <c r="C431" s="24"/>
      <c r="D431" s="24"/>
      <c r="E431" s="24"/>
      <c r="F431" s="24"/>
      <c r="G431" s="24"/>
      <c r="H431" s="24"/>
      <c r="I431" s="24"/>
      <c r="J431" s="24"/>
      <c r="K431" s="24"/>
      <c r="L431" s="73"/>
      <c r="M431" s="24"/>
      <c r="N431" s="24"/>
      <c r="O431" s="24"/>
      <c r="P431" s="24"/>
      <c r="Q431" s="24"/>
      <c r="R431" s="24"/>
      <c r="S431" s="24"/>
      <c r="T431" s="24"/>
    </row>
    <row r="432" spans="1:20">
      <c r="A432" s="22"/>
      <c r="B432" s="22"/>
      <c r="C432" s="24"/>
      <c r="D432" s="24"/>
      <c r="E432" s="24"/>
      <c r="F432" s="24"/>
      <c r="G432" s="24"/>
      <c r="H432" s="24"/>
      <c r="I432" s="24"/>
      <c r="J432" s="24"/>
      <c r="K432" s="24"/>
      <c r="L432" s="73"/>
      <c r="M432" s="24"/>
      <c r="N432" s="24"/>
      <c r="O432" s="24"/>
      <c r="P432" s="24"/>
      <c r="Q432" s="24"/>
      <c r="R432" s="24"/>
      <c r="S432" s="24"/>
      <c r="T432" s="24"/>
    </row>
    <row r="433" spans="1:20">
      <c r="A433" s="22"/>
      <c r="B433" s="22"/>
      <c r="C433" s="24"/>
      <c r="D433" s="24"/>
      <c r="E433" s="24"/>
      <c r="F433" s="24"/>
      <c r="G433" s="24"/>
      <c r="H433" s="24"/>
      <c r="I433" s="24"/>
      <c r="J433" s="24"/>
      <c r="K433" s="24"/>
      <c r="L433" s="73"/>
      <c r="M433" s="24"/>
      <c r="N433" s="24"/>
      <c r="O433" s="24"/>
      <c r="P433" s="24"/>
      <c r="Q433" s="24"/>
      <c r="R433" s="24"/>
      <c r="S433" s="24"/>
      <c r="T433" s="24"/>
    </row>
    <row r="434" spans="1:20">
      <c r="A434" s="22"/>
      <c r="B434" s="22"/>
      <c r="C434" s="24"/>
      <c r="D434" s="24"/>
      <c r="E434" s="24"/>
      <c r="F434" s="24"/>
      <c r="G434" s="24"/>
      <c r="H434" s="24"/>
      <c r="I434" s="24"/>
      <c r="J434" s="24"/>
      <c r="K434" s="24"/>
      <c r="L434" s="73"/>
      <c r="M434" s="24"/>
      <c r="N434" s="24"/>
      <c r="O434" s="24"/>
      <c r="P434" s="24"/>
      <c r="Q434" s="24"/>
      <c r="R434" s="24"/>
      <c r="S434" s="24"/>
      <c r="T434" s="24"/>
    </row>
    <row r="435" spans="1:20">
      <c r="A435" s="22"/>
      <c r="B435" s="22"/>
      <c r="C435" s="24"/>
      <c r="D435" s="24"/>
      <c r="E435" s="24"/>
      <c r="F435" s="24"/>
      <c r="G435" s="24"/>
      <c r="H435" s="24"/>
      <c r="I435" s="24"/>
      <c r="J435" s="24"/>
      <c r="K435" s="24"/>
      <c r="L435" s="73"/>
      <c r="M435" s="24"/>
      <c r="N435" s="24"/>
      <c r="O435" s="24"/>
      <c r="P435" s="24"/>
      <c r="Q435" s="24"/>
      <c r="R435" s="24"/>
      <c r="S435" s="24"/>
      <c r="T435" s="24"/>
    </row>
    <row r="436" spans="1:20">
      <c r="A436" s="22"/>
      <c r="B436" s="22"/>
      <c r="C436" s="24"/>
      <c r="D436" s="24"/>
      <c r="E436" s="24"/>
      <c r="F436" s="24"/>
      <c r="G436" s="24"/>
      <c r="H436" s="24"/>
      <c r="I436" s="24"/>
      <c r="J436" s="24"/>
      <c r="K436" s="24"/>
      <c r="L436" s="73"/>
      <c r="M436" s="24"/>
      <c r="N436" s="24"/>
      <c r="O436" s="24"/>
      <c r="P436" s="24"/>
      <c r="Q436" s="24"/>
      <c r="R436" s="24"/>
      <c r="S436" s="24"/>
      <c r="T436" s="24"/>
    </row>
    <row r="437" spans="1:20">
      <c r="A437" s="22"/>
      <c r="B437" s="22"/>
      <c r="C437" s="24"/>
      <c r="D437" s="24"/>
      <c r="E437" s="24"/>
      <c r="F437" s="24"/>
      <c r="G437" s="24"/>
      <c r="H437" s="24"/>
      <c r="I437" s="24"/>
      <c r="J437" s="24"/>
      <c r="K437" s="24"/>
      <c r="L437" s="73"/>
      <c r="M437" s="24"/>
      <c r="N437" s="24"/>
      <c r="O437" s="24"/>
      <c r="P437" s="24"/>
      <c r="Q437" s="24"/>
      <c r="R437" s="24"/>
      <c r="S437" s="24"/>
      <c r="T437" s="24"/>
    </row>
    <row r="438" spans="1:20">
      <c r="A438" s="22"/>
      <c r="B438" s="22"/>
      <c r="C438" s="24"/>
      <c r="D438" s="24"/>
      <c r="E438" s="24"/>
      <c r="F438" s="24"/>
      <c r="G438" s="24"/>
      <c r="H438" s="24"/>
      <c r="I438" s="24"/>
      <c r="J438" s="24"/>
      <c r="K438" s="24"/>
      <c r="L438" s="73"/>
      <c r="M438" s="24"/>
      <c r="N438" s="24"/>
      <c r="O438" s="24"/>
      <c r="P438" s="24"/>
      <c r="Q438" s="24"/>
      <c r="R438" s="24"/>
      <c r="S438" s="24"/>
      <c r="T438" s="24"/>
    </row>
    <row r="439" spans="1:20">
      <c r="A439" s="22"/>
      <c r="B439" s="22"/>
      <c r="C439" s="24"/>
      <c r="D439" s="24"/>
      <c r="E439" s="24"/>
      <c r="F439" s="24"/>
      <c r="G439" s="24"/>
      <c r="H439" s="24"/>
      <c r="I439" s="24"/>
      <c r="J439" s="24"/>
      <c r="K439" s="24"/>
      <c r="L439" s="73"/>
      <c r="M439" s="24"/>
      <c r="N439" s="24"/>
      <c r="O439" s="24"/>
      <c r="P439" s="24"/>
      <c r="Q439" s="24"/>
      <c r="R439" s="24"/>
      <c r="S439" s="24"/>
      <c r="T439" s="24"/>
    </row>
    <row r="440" spans="1:20">
      <c r="A440" s="22"/>
      <c r="B440" s="22"/>
      <c r="C440" s="24"/>
      <c r="D440" s="24"/>
      <c r="E440" s="24"/>
      <c r="F440" s="24"/>
      <c r="G440" s="24"/>
      <c r="H440" s="24"/>
      <c r="I440" s="24"/>
      <c r="J440" s="24"/>
      <c r="K440" s="24"/>
      <c r="L440" s="73"/>
      <c r="M440" s="24"/>
      <c r="N440" s="24"/>
      <c r="O440" s="24"/>
      <c r="P440" s="24"/>
      <c r="Q440" s="24"/>
      <c r="R440" s="24"/>
      <c r="S440" s="24"/>
      <c r="T440" s="24"/>
    </row>
    <row r="441" spans="1:20">
      <c r="A441" s="22"/>
      <c r="B441" s="22"/>
      <c r="C441" s="24"/>
      <c r="D441" s="24"/>
      <c r="E441" s="24"/>
      <c r="F441" s="24"/>
      <c r="G441" s="24"/>
      <c r="H441" s="24"/>
      <c r="I441" s="24"/>
      <c r="J441" s="24"/>
      <c r="K441" s="24"/>
      <c r="L441" s="73"/>
      <c r="M441" s="24"/>
      <c r="N441" s="24"/>
      <c r="O441" s="24"/>
      <c r="P441" s="24"/>
      <c r="Q441" s="24"/>
      <c r="R441" s="24"/>
      <c r="S441" s="24"/>
      <c r="T441" s="24"/>
    </row>
    <row r="442" spans="1:20">
      <c r="A442" s="22"/>
      <c r="B442" s="22"/>
      <c r="C442" s="24"/>
      <c r="D442" s="24"/>
      <c r="E442" s="24"/>
      <c r="F442" s="24"/>
      <c r="G442" s="24"/>
      <c r="H442" s="24"/>
      <c r="I442" s="24"/>
      <c r="J442" s="24"/>
      <c r="K442" s="24"/>
      <c r="L442" s="73"/>
      <c r="M442" s="24"/>
      <c r="N442" s="24"/>
      <c r="O442" s="24"/>
      <c r="P442" s="24"/>
      <c r="Q442" s="24"/>
      <c r="R442" s="24"/>
      <c r="S442" s="24"/>
      <c r="T442" s="24"/>
    </row>
    <row r="443" spans="1:20">
      <c r="A443" s="22"/>
      <c r="B443" s="22"/>
      <c r="C443" s="24"/>
      <c r="D443" s="24"/>
      <c r="E443" s="24"/>
      <c r="F443" s="24"/>
      <c r="G443" s="24"/>
      <c r="H443" s="24"/>
      <c r="I443" s="24"/>
      <c r="J443" s="24"/>
      <c r="K443" s="24"/>
      <c r="L443" s="73"/>
      <c r="M443" s="24"/>
      <c r="N443" s="24"/>
      <c r="O443" s="24"/>
      <c r="P443" s="24"/>
      <c r="Q443" s="24"/>
      <c r="R443" s="24"/>
      <c r="S443" s="24"/>
      <c r="T443" s="24"/>
    </row>
    <row r="444" spans="1:20">
      <c r="A444" s="22"/>
      <c r="B444" s="22"/>
      <c r="C444" s="24"/>
      <c r="D444" s="24"/>
      <c r="E444" s="24"/>
      <c r="F444" s="24"/>
      <c r="G444" s="24"/>
      <c r="H444" s="24"/>
      <c r="I444" s="24"/>
      <c r="J444" s="24"/>
      <c r="K444" s="24"/>
      <c r="L444" s="73"/>
      <c r="M444" s="24"/>
      <c r="N444" s="24"/>
      <c r="O444" s="24"/>
      <c r="P444" s="24"/>
      <c r="Q444" s="24"/>
      <c r="R444" s="24"/>
      <c r="S444" s="24"/>
      <c r="T444" s="24"/>
    </row>
    <row r="445" spans="1:20">
      <c r="A445" s="22"/>
      <c r="B445" s="22"/>
      <c r="C445" s="24"/>
      <c r="D445" s="24"/>
      <c r="E445" s="24"/>
      <c r="F445" s="24"/>
      <c r="G445" s="24"/>
      <c r="H445" s="24"/>
      <c r="I445" s="24"/>
      <c r="J445" s="24"/>
      <c r="K445" s="24"/>
      <c r="L445" s="73"/>
      <c r="M445" s="24"/>
      <c r="N445" s="24"/>
      <c r="O445" s="24"/>
      <c r="P445" s="24"/>
      <c r="Q445" s="24"/>
      <c r="R445" s="24"/>
      <c r="S445" s="24"/>
      <c r="T445" s="24"/>
    </row>
    <row r="446" spans="1:20">
      <c r="A446" s="22"/>
      <c r="B446" s="22"/>
      <c r="C446" s="24"/>
      <c r="D446" s="24"/>
      <c r="E446" s="24"/>
      <c r="F446" s="24"/>
      <c r="G446" s="24"/>
      <c r="H446" s="24"/>
      <c r="I446" s="24"/>
      <c r="J446" s="24"/>
      <c r="K446" s="24"/>
      <c r="L446" s="73"/>
      <c r="M446" s="24"/>
      <c r="N446" s="24"/>
      <c r="O446" s="24"/>
      <c r="P446" s="24"/>
      <c r="Q446" s="24"/>
      <c r="R446" s="24"/>
      <c r="S446" s="24"/>
      <c r="T446" s="24"/>
    </row>
    <row r="447" spans="1:20">
      <c r="A447" s="22"/>
      <c r="B447" s="22"/>
      <c r="C447" s="24"/>
      <c r="D447" s="24"/>
      <c r="E447" s="24"/>
      <c r="F447" s="24"/>
      <c r="G447" s="24"/>
      <c r="H447" s="24"/>
      <c r="I447" s="24"/>
      <c r="J447" s="24"/>
      <c r="K447" s="24"/>
      <c r="L447" s="73"/>
      <c r="M447" s="24"/>
      <c r="N447" s="24"/>
      <c r="O447" s="24"/>
      <c r="P447" s="24"/>
      <c r="Q447" s="24"/>
      <c r="R447" s="24"/>
      <c r="S447" s="24"/>
      <c r="T447" s="24"/>
    </row>
    <row r="448" spans="1:20">
      <c r="A448" s="22"/>
      <c r="B448" s="22"/>
      <c r="C448" s="24"/>
      <c r="D448" s="24"/>
      <c r="E448" s="24"/>
      <c r="F448" s="24"/>
      <c r="G448" s="24"/>
      <c r="H448" s="24"/>
      <c r="I448" s="24"/>
      <c r="J448" s="24"/>
      <c r="K448" s="24"/>
      <c r="L448" s="73"/>
      <c r="M448" s="24"/>
      <c r="N448" s="24"/>
      <c r="O448" s="24"/>
      <c r="P448" s="24"/>
      <c r="Q448" s="24"/>
      <c r="R448" s="24"/>
      <c r="S448" s="24"/>
      <c r="T448" s="24"/>
    </row>
    <row r="449" spans="1:20">
      <c r="A449" s="22"/>
      <c r="B449" s="22"/>
      <c r="C449" s="24"/>
      <c r="D449" s="24"/>
      <c r="E449" s="24"/>
      <c r="F449" s="24"/>
      <c r="G449" s="24"/>
      <c r="H449" s="24"/>
      <c r="I449" s="24"/>
      <c r="J449" s="24"/>
      <c r="K449" s="24"/>
      <c r="L449" s="73"/>
      <c r="M449" s="24"/>
      <c r="N449" s="24"/>
      <c r="O449" s="24"/>
      <c r="P449" s="24"/>
      <c r="Q449" s="24"/>
      <c r="R449" s="24"/>
      <c r="S449" s="24"/>
      <c r="T449" s="24"/>
    </row>
    <row r="450" spans="1:20">
      <c r="A450" s="22"/>
      <c r="B450" s="22"/>
      <c r="C450" s="24"/>
      <c r="D450" s="24"/>
      <c r="E450" s="24"/>
      <c r="F450" s="24"/>
      <c r="G450" s="24"/>
      <c r="H450" s="24"/>
      <c r="I450" s="24"/>
      <c r="J450" s="24"/>
      <c r="K450" s="24"/>
      <c r="L450" s="73"/>
      <c r="M450" s="24"/>
      <c r="N450" s="24"/>
      <c r="O450" s="24"/>
      <c r="P450" s="24"/>
      <c r="Q450" s="24"/>
      <c r="R450" s="24"/>
      <c r="S450" s="24"/>
      <c r="T450" s="24"/>
    </row>
    <row r="451" spans="1:20">
      <c r="A451" s="22"/>
      <c r="B451" s="22"/>
      <c r="C451" s="24"/>
      <c r="D451" s="24"/>
      <c r="E451" s="24"/>
      <c r="F451" s="24"/>
      <c r="G451" s="24"/>
      <c r="H451" s="24"/>
      <c r="I451" s="24"/>
      <c r="J451" s="24"/>
      <c r="K451" s="24"/>
      <c r="L451" s="73"/>
      <c r="M451" s="24"/>
      <c r="N451" s="24"/>
      <c r="O451" s="24"/>
      <c r="P451" s="24"/>
      <c r="Q451" s="24"/>
      <c r="R451" s="24"/>
      <c r="S451" s="24"/>
      <c r="T451" s="24"/>
    </row>
    <row r="452" spans="1:20">
      <c r="A452" s="22"/>
      <c r="B452" s="22"/>
      <c r="C452" s="24"/>
      <c r="D452" s="24"/>
      <c r="E452" s="24"/>
      <c r="F452" s="24"/>
      <c r="G452" s="24"/>
      <c r="H452" s="24"/>
      <c r="I452" s="24"/>
      <c r="J452" s="24"/>
      <c r="K452" s="24"/>
      <c r="L452" s="73"/>
      <c r="M452" s="24"/>
      <c r="N452" s="24"/>
      <c r="O452" s="24"/>
      <c r="P452" s="24"/>
      <c r="Q452" s="24"/>
      <c r="R452" s="24"/>
      <c r="S452" s="24"/>
      <c r="T452" s="24"/>
    </row>
    <row r="453" spans="1:20">
      <c r="A453" s="22"/>
      <c r="B453" s="22"/>
      <c r="C453" s="24"/>
      <c r="D453" s="24"/>
      <c r="E453" s="24"/>
      <c r="F453" s="24"/>
      <c r="G453" s="24"/>
      <c r="H453" s="24"/>
      <c r="I453" s="24"/>
      <c r="J453" s="24"/>
      <c r="K453" s="24"/>
      <c r="L453" s="73"/>
      <c r="M453" s="24"/>
      <c r="N453" s="24"/>
      <c r="O453" s="24"/>
      <c r="P453" s="24"/>
      <c r="Q453" s="24"/>
      <c r="R453" s="24"/>
      <c r="S453" s="24"/>
      <c r="T453" s="24"/>
    </row>
    <row r="454" spans="1:20">
      <c r="A454" s="22"/>
      <c r="B454" s="22"/>
      <c r="C454" s="24"/>
      <c r="D454" s="24"/>
      <c r="E454" s="24"/>
      <c r="F454" s="24"/>
      <c r="G454" s="24"/>
      <c r="H454" s="24"/>
      <c r="I454" s="24"/>
      <c r="J454" s="24"/>
      <c r="K454" s="24"/>
      <c r="L454" s="73"/>
      <c r="M454" s="24"/>
      <c r="N454" s="24"/>
      <c r="O454" s="24"/>
      <c r="P454" s="24"/>
      <c r="Q454" s="24"/>
      <c r="R454" s="24"/>
      <c r="S454" s="24"/>
      <c r="T454" s="24"/>
    </row>
    <row r="455" spans="1:20">
      <c r="A455" s="22"/>
      <c r="B455" s="22"/>
      <c r="C455" s="24"/>
      <c r="D455" s="24"/>
      <c r="E455" s="24"/>
      <c r="F455" s="24"/>
      <c r="G455" s="24"/>
      <c r="H455" s="24"/>
      <c r="I455" s="24"/>
      <c r="J455" s="24"/>
      <c r="K455" s="24"/>
      <c r="L455" s="73"/>
      <c r="M455" s="24"/>
      <c r="N455" s="24"/>
      <c r="O455" s="24"/>
      <c r="P455" s="24"/>
      <c r="Q455" s="24"/>
      <c r="R455" s="24"/>
      <c r="S455" s="24"/>
      <c r="T455" s="24"/>
    </row>
    <row r="456" spans="1:20">
      <c r="A456" s="22"/>
      <c r="B456" s="22"/>
      <c r="C456" s="24"/>
      <c r="D456" s="24"/>
      <c r="E456" s="24"/>
      <c r="F456" s="24"/>
      <c r="G456" s="24"/>
      <c r="H456" s="24"/>
      <c r="I456" s="24"/>
      <c r="J456" s="24"/>
      <c r="K456" s="24"/>
      <c r="L456" s="73"/>
      <c r="M456" s="24"/>
      <c r="N456" s="24"/>
      <c r="O456" s="24"/>
      <c r="P456" s="24"/>
      <c r="Q456" s="24"/>
      <c r="R456" s="24"/>
      <c r="S456" s="24"/>
      <c r="T456" s="24"/>
    </row>
    <row r="457" spans="1:20">
      <c r="A457" s="22"/>
      <c r="B457" s="22"/>
      <c r="C457" s="24"/>
      <c r="D457" s="24"/>
      <c r="E457" s="24"/>
      <c r="F457" s="24"/>
      <c r="G457" s="24"/>
      <c r="H457" s="24"/>
      <c r="I457" s="24"/>
      <c r="J457" s="24"/>
      <c r="K457" s="24"/>
      <c r="L457" s="73"/>
      <c r="M457" s="24"/>
      <c r="N457" s="24"/>
      <c r="O457" s="24"/>
      <c r="P457" s="24"/>
      <c r="Q457" s="24"/>
      <c r="R457" s="24"/>
      <c r="S457" s="24"/>
      <c r="T457" s="24"/>
    </row>
    <row r="458" spans="1:20">
      <c r="A458" s="22"/>
      <c r="B458" s="22"/>
      <c r="C458" s="24"/>
      <c r="D458" s="24"/>
      <c r="E458" s="24"/>
      <c r="F458" s="24"/>
      <c r="G458" s="24"/>
      <c r="H458" s="24"/>
      <c r="I458" s="24"/>
      <c r="J458" s="24"/>
      <c r="K458" s="24"/>
      <c r="L458" s="73"/>
      <c r="M458" s="24"/>
      <c r="N458" s="24"/>
      <c r="O458" s="24"/>
      <c r="P458" s="24"/>
      <c r="Q458" s="24"/>
      <c r="R458" s="24"/>
      <c r="S458" s="24"/>
      <c r="T458" s="24"/>
    </row>
    <row r="459" spans="1:20">
      <c r="A459" s="22"/>
      <c r="B459" s="22"/>
      <c r="C459" s="24"/>
      <c r="D459" s="24"/>
      <c r="E459" s="24"/>
      <c r="F459" s="24"/>
      <c r="G459" s="24"/>
      <c r="H459" s="24"/>
      <c r="I459" s="24"/>
      <c r="J459" s="24"/>
      <c r="K459" s="24"/>
      <c r="L459" s="73"/>
      <c r="M459" s="24"/>
      <c r="N459" s="24"/>
      <c r="O459" s="24"/>
      <c r="P459" s="24"/>
      <c r="Q459" s="24"/>
      <c r="R459" s="24"/>
      <c r="S459" s="24"/>
      <c r="T459" s="24"/>
    </row>
    <row r="460" spans="1:20">
      <c r="A460" s="22"/>
      <c r="B460" s="22"/>
      <c r="C460" s="24"/>
      <c r="D460" s="24"/>
      <c r="E460" s="24"/>
      <c r="F460" s="24"/>
      <c r="G460" s="24"/>
      <c r="H460" s="24"/>
      <c r="I460" s="24"/>
      <c r="J460" s="24"/>
      <c r="K460" s="24"/>
      <c r="L460" s="73"/>
      <c r="M460" s="24"/>
      <c r="N460" s="24"/>
      <c r="O460" s="24"/>
      <c r="P460" s="24"/>
      <c r="Q460" s="24"/>
      <c r="R460" s="24"/>
      <c r="S460" s="24"/>
      <c r="T460" s="24"/>
    </row>
    <row r="461" spans="1:20">
      <c r="A461" s="22"/>
      <c r="B461" s="22"/>
      <c r="C461" s="24"/>
      <c r="D461" s="24"/>
      <c r="E461" s="24"/>
      <c r="F461" s="24"/>
      <c r="G461" s="24"/>
      <c r="H461" s="24"/>
      <c r="I461" s="24"/>
      <c r="J461" s="24"/>
      <c r="K461" s="24"/>
      <c r="L461" s="73"/>
      <c r="M461" s="24"/>
      <c r="N461" s="24"/>
      <c r="O461" s="24"/>
      <c r="P461" s="24"/>
      <c r="Q461" s="24"/>
      <c r="R461" s="24"/>
      <c r="S461" s="24"/>
      <c r="T461" s="24"/>
    </row>
    <row r="462" spans="1:20">
      <c r="A462" s="22"/>
      <c r="B462" s="22"/>
      <c r="C462" s="24"/>
      <c r="D462" s="24"/>
      <c r="E462" s="24"/>
      <c r="F462" s="24"/>
      <c r="G462" s="24"/>
      <c r="H462" s="24"/>
      <c r="I462" s="24"/>
      <c r="J462" s="24"/>
      <c r="K462" s="24"/>
      <c r="L462" s="73"/>
      <c r="M462" s="24"/>
      <c r="N462" s="24"/>
      <c r="O462" s="24"/>
      <c r="P462" s="24"/>
      <c r="Q462" s="24"/>
      <c r="R462" s="24"/>
      <c r="S462" s="24"/>
      <c r="T462" s="24"/>
    </row>
    <row r="463" spans="1:20">
      <c r="A463" s="22"/>
      <c r="B463" s="22"/>
      <c r="C463" s="24"/>
      <c r="D463" s="24"/>
      <c r="E463" s="24"/>
      <c r="F463" s="24"/>
      <c r="G463" s="24"/>
      <c r="H463" s="24"/>
      <c r="I463" s="24"/>
      <c r="J463" s="24"/>
      <c r="K463" s="24"/>
      <c r="L463" s="73"/>
      <c r="M463" s="24"/>
      <c r="N463" s="24"/>
      <c r="O463" s="24"/>
      <c r="P463" s="24"/>
      <c r="Q463" s="24"/>
      <c r="R463" s="24"/>
      <c r="S463" s="24"/>
      <c r="T463" s="24"/>
    </row>
    <row r="464" spans="1:20">
      <c r="A464" s="22"/>
      <c r="B464" s="22"/>
      <c r="C464" s="24"/>
      <c r="D464" s="24"/>
      <c r="E464" s="24"/>
      <c r="F464" s="24"/>
      <c r="G464" s="24"/>
      <c r="H464" s="24"/>
      <c r="I464" s="24"/>
      <c r="J464" s="24"/>
      <c r="K464" s="24"/>
      <c r="L464" s="73"/>
      <c r="M464" s="24"/>
      <c r="N464" s="24"/>
      <c r="O464" s="24"/>
      <c r="P464" s="24"/>
      <c r="Q464" s="24"/>
      <c r="R464" s="24"/>
      <c r="S464" s="24"/>
      <c r="T464" s="24"/>
    </row>
    <row r="465" spans="1:20">
      <c r="A465" s="22"/>
      <c r="B465" s="22"/>
      <c r="C465" s="24"/>
      <c r="D465" s="24"/>
      <c r="E465" s="24"/>
      <c r="F465" s="24"/>
      <c r="G465" s="24"/>
      <c r="H465" s="24"/>
      <c r="I465" s="24"/>
      <c r="J465" s="24"/>
      <c r="K465" s="24"/>
      <c r="L465" s="73"/>
      <c r="M465" s="24"/>
      <c r="N465" s="24"/>
      <c r="O465" s="24"/>
      <c r="P465" s="24"/>
      <c r="Q465" s="24"/>
      <c r="R465" s="24"/>
      <c r="S465" s="24"/>
      <c r="T465" s="24"/>
    </row>
    <row r="466" spans="1:20">
      <c r="A466" s="22"/>
      <c r="B466" s="22"/>
      <c r="C466" s="24"/>
      <c r="D466" s="24"/>
      <c r="E466" s="24"/>
      <c r="F466" s="24"/>
      <c r="G466" s="24"/>
      <c r="H466" s="24"/>
      <c r="I466" s="24"/>
      <c r="J466" s="24"/>
      <c r="K466" s="24"/>
      <c r="L466" s="73"/>
      <c r="M466" s="24"/>
      <c r="N466" s="24"/>
      <c r="O466" s="24"/>
      <c r="P466" s="24"/>
      <c r="Q466" s="24"/>
      <c r="R466" s="24"/>
      <c r="S466" s="24"/>
      <c r="T466" s="24"/>
    </row>
    <row r="467" spans="1:20">
      <c r="A467" s="22"/>
      <c r="B467" s="22"/>
      <c r="C467" s="24"/>
      <c r="D467" s="24"/>
      <c r="E467" s="24"/>
      <c r="F467" s="24"/>
      <c r="G467" s="24"/>
      <c r="H467" s="24"/>
      <c r="I467" s="24"/>
      <c r="J467" s="24"/>
      <c r="K467" s="24"/>
      <c r="L467" s="73"/>
      <c r="M467" s="24"/>
      <c r="N467" s="24"/>
      <c r="O467" s="24"/>
      <c r="P467" s="24"/>
      <c r="Q467" s="24"/>
      <c r="R467" s="24"/>
      <c r="S467" s="24"/>
      <c r="T467" s="24"/>
    </row>
    <row r="468" spans="1:20">
      <c r="A468" s="22"/>
      <c r="B468" s="22"/>
      <c r="C468" s="24"/>
      <c r="D468" s="24"/>
      <c r="E468" s="24"/>
      <c r="F468" s="24"/>
      <c r="G468" s="24"/>
      <c r="H468" s="24"/>
      <c r="I468" s="24"/>
      <c r="J468" s="24"/>
      <c r="K468" s="24"/>
      <c r="L468" s="73"/>
      <c r="M468" s="24"/>
      <c r="N468" s="24"/>
      <c r="O468" s="24"/>
      <c r="P468" s="24"/>
      <c r="Q468" s="24"/>
      <c r="R468" s="24"/>
      <c r="S468" s="24"/>
      <c r="T468" s="24"/>
    </row>
    <row r="469" spans="1:20">
      <c r="A469" s="22"/>
      <c r="B469" s="22"/>
      <c r="C469" s="24"/>
      <c r="D469" s="24"/>
      <c r="E469" s="24"/>
      <c r="F469" s="24"/>
      <c r="G469" s="24"/>
      <c r="H469" s="24"/>
      <c r="I469" s="24"/>
      <c r="J469" s="24"/>
      <c r="K469" s="24"/>
      <c r="L469" s="73"/>
      <c r="M469" s="24"/>
      <c r="N469" s="24"/>
      <c r="O469" s="24"/>
      <c r="P469" s="24"/>
      <c r="Q469" s="24"/>
      <c r="R469" s="24"/>
      <c r="S469" s="24"/>
      <c r="T469" s="24"/>
    </row>
    <row r="470" spans="1:20">
      <c r="A470" s="22"/>
      <c r="B470" s="22"/>
      <c r="C470" s="24"/>
      <c r="D470" s="24"/>
      <c r="E470" s="24"/>
      <c r="F470" s="24"/>
      <c r="G470" s="24"/>
      <c r="H470" s="24"/>
      <c r="I470" s="24"/>
      <c r="J470" s="24"/>
      <c r="K470" s="24"/>
      <c r="L470" s="73"/>
      <c r="M470" s="24"/>
      <c r="N470" s="24"/>
      <c r="O470" s="24"/>
      <c r="P470" s="24"/>
      <c r="Q470" s="24"/>
      <c r="R470" s="24"/>
      <c r="S470" s="24"/>
      <c r="T470" s="24"/>
    </row>
    <row r="471" spans="1:20">
      <c r="A471" s="22"/>
      <c r="B471" s="22"/>
      <c r="C471" s="24"/>
      <c r="D471" s="24"/>
      <c r="E471" s="24"/>
      <c r="F471" s="24"/>
      <c r="G471" s="24"/>
      <c r="H471" s="24"/>
      <c r="I471" s="24"/>
      <c r="J471" s="24"/>
      <c r="K471" s="24"/>
      <c r="L471" s="73"/>
      <c r="M471" s="24"/>
      <c r="N471" s="24"/>
      <c r="O471" s="24"/>
      <c r="P471" s="24"/>
      <c r="Q471" s="24"/>
      <c r="R471" s="24"/>
      <c r="S471" s="24"/>
      <c r="T471" s="24"/>
    </row>
    <row r="472" spans="1:20">
      <c r="A472" s="22"/>
      <c r="B472" s="22"/>
      <c r="C472" s="24"/>
      <c r="D472" s="24"/>
      <c r="E472" s="24"/>
      <c r="F472" s="24"/>
      <c r="G472" s="24"/>
      <c r="H472" s="24"/>
      <c r="I472" s="24"/>
      <c r="J472" s="24"/>
      <c r="K472" s="24"/>
      <c r="L472" s="73"/>
      <c r="M472" s="24"/>
      <c r="N472" s="24"/>
      <c r="O472" s="24"/>
      <c r="P472" s="24"/>
      <c r="Q472" s="24"/>
      <c r="R472" s="24"/>
      <c r="S472" s="24"/>
      <c r="T472" s="24"/>
    </row>
    <row r="473" spans="1:20">
      <c r="A473" s="22"/>
      <c r="B473" s="22"/>
      <c r="C473" s="24"/>
      <c r="D473" s="24"/>
      <c r="E473" s="24"/>
      <c r="F473" s="24"/>
      <c r="G473" s="24"/>
      <c r="H473" s="24"/>
      <c r="I473" s="24"/>
      <c r="J473" s="24"/>
      <c r="K473" s="24"/>
      <c r="L473" s="73"/>
      <c r="M473" s="24"/>
      <c r="N473" s="24"/>
      <c r="O473" s="24"/>
      <c r="P473" s="24"/>
      <c r="Q473" s="24"/>
      <c r="R473" s="24"/>
      <c r="S473" s="24"/>
      <c r="T473" s="24"/>
    </row>
    <row r="474" spans="1:20">
      <c r="A474" s="22"/>
      <c r="B474" s="22"/>
      <c r="C474" s="24"/>
      <c r="D474" s="24"/>
      <c r="E474" s="24"/>
      <c r="F474" s="24"/>
      <c r="G474" s="24"/>
      <c r="H474" s="24"/>
      <c r="I474" s="24"/>
      <c r="J474" s="24"/>
      <c r="K474" s="24"/>
      <c r="L474" s="73"/>
      <c r="M474" s="24"/>
      <c r="N474" s="24"/>
      <c r="O474" s="24"/>
      <c r="P474" s="24"/>
      <c r="Q474" s="24"/>
      <c r="R474" s="24"/>
      <c r="S474" s="24"/>
      <c r="T474" s="24"/>
    </row>
    <row r="475" spans="1:20">
      <c r="A475" s="22"/>
      <c r="B475" s="22"/>
      <c r="C475" s="24"/>
      <c r="D475" s="24"/>
      <c r="E475" s="24"/>
      <c r="F475" s="24"/>
      <c r="G475" s="24"/>
      <c r="H475" s="24"/>
      <c r="I475" s="24"/>
      <c r="J475" s="24"/>
      <c r="K475" s="24"/>
      <c r="L475" s="73"/>
      <c r="M475" s="24"/>
      <c r="N475" s="24"/>
      <c r="O475" s="24"/>
      <c r="P475" s="24"/>
      <c r="Q475" s="24"/>
      <c r="R475" s="24"/>
      <c r="S475" s="24"/>
      <c r="T475" s="24"/>
    </row>
    <row r="476" spans="1:20">
      <c r="A476" s="22"/>
      <c r="B476" s="22"/>
      <c r="C476" s="24"/>
      <c r="D476" s="24"/>
      <c r="E476" s="24"/>
      <c r="F476" s="24"/>
      <c r="G476" s="24"/>
      <c r="H476" s="24"/>
      <c r="I476" s="24"/>
      <c r="J476" s="24"/>
      <c r="K476" s="24"/>
      <c r="L476" s="73"/>
      <c r="M476" s="24"/>
      <c r="N476" s="24"/>
      <c r="O476" s="24"/>
      <c r="P476" s="24"/>
      <c r="Q476" s="24"/>
      <c r="R476" s="24"/>
      <c r="S476" s="24"/>
      <c r="T476" s="24"/>
    </row>
    <row r="477" spans="1:20">
      <c r="A477" s="22"/>
      <c r="B477" s="22"/>
      <c r="C477" s="24"/>
      <c r="D477" s="24"/>
      <c r="E477" s="24"/>
      <c r="F477" s="24"/>
      <c r="G477" s="24"/>
      <c r="H477" s="24"/>
      <c r="I477" s="24"/>
      <c r="J477" s="24"/>
      <c r="K477" s="24"/>
      <c r="L477" s="73"/>
      <c r="M477" s="24"/>
      <c r="N477" s="24"/>
      <c r="O477" s="24"/>
      <c r="P477" s="24"/>
      <c r="Q477" s="24"/>
      <c r="R477" s="24"/>
      <c r="S477" s="24"/>
      <c r="T477" s="24"/>
    </row>
    <row r="478" spans="1:20">
      <c r="A478" s="22"/>
      <c r="B478" s="22"/>
      <c r="C478" s="24"/>
      <c r="D478" s="24"/>
      <c r="E478" s="24"/>
      <c r="F478" s="24"/>
      <c r="G478" s="24"/>
      <c r="H478" s="24"/>
      <c r="I478" s="24"/>
      <c r="J478" s="24"/>
      <c r="K478" s="24"/>
      <c r="L478" s="73"/>
      <c r="M478" s="24"/>
      <c r="N478" s="24"/>
      <c r="O478" s="24"/>
      <c r="P478" s="24"/>
      <c r="Q478" s="24"/>
      <c r="R478" s="24"/>
      <c r="S478" s="24"/>
      <c r="T478" s="24"/>
    </row>
    <row r="479" spans="1:20">
      <c r="A479" s="22"/>
      <c r="B479" s="22"/>
      <c r="C479" s="24"/>
      <c r="D479" s="24"/>
      <c r="E479" s="24"/>
      <c r="F479" s="24"/>
      <c r="G479" s="24"/>
      <c r="H479" s="24"/>
      <c r="I479" s="24"/>
      <c r="J479" s="24"/>
      <c r="K479" s="24"/>
      <c r="L479" s="73"/>
      <c r="M479" s="24"/>
      <c r="N479" s="24"/>
      <c r="O479" s="24"/>
      <c r="P479" s="24"/>
      <c r="Q479" s="24"/>
      <c r="R479" s="24"/>
      <c r="S479" s="24"/>
      <c r="T479" s="24"/>
    </row>
    <row r="480" spans="1:20">
      <c r="A480" s="22"/>
      <c r="B480" s="22"/>
      <c r="C480" s="24"/>
      <c r="D480" s="24"/>
      <c r="E480" s="24"/>
      <c r="F480" s="24"/>
      <c r="G480" s="24"/>
      <c r="H480" s="24"/>
      <c r="I480" s="24"/>
      <c r="J480" s="24"/>
      <c r="K480" s="24"/>
      <c r="L480" s="73"/>
      <c r="M480" s="24"/>
      <c r="N480" s="24"/>
      <c r="O480" s="24"/>
      <c r="P480" s="24"/>
      <c r="Q480" s="24"/>
      <c r="R480" s="24"/>
      <c r="S480" s="24"/>
      <c r="T480" s="24"/>
    </row>
    <row r="481" spans="1:20">
      <c r="A481" s="22"/>
      <c r="B481" s="22"/>
      <c r="C481" s="24"/>
      <c r="D481" s="24"/>
      <c r="E481" s="24"/>
      <c r="F481" s="24"/>
      <c r="G481" s="24"/>
      <c r="H481" s="24"/>
      <c r="I481" s="24"/>
      <c r="J481" s="24"/>
      <c r="K481" s="24"/>
      <c r="L481" s="73"/>
      <c r="M481" s="24"/>
      <c r="N481" s="24"/>
      <c r="O481" s="24"/>
      <c r="P481" s="24"/>
      <c r="Q481" s="24"/>
      <c r="R481" s="24"/>
      <c r="S481" s="24"/>
      <c r="T481" s="24"/>
    </row>
    <row r="482" spans="1:20">
      <c r="A482" s="22"/>
      <c r="B482" s="22"/>
      <c r="C482" s="24"/>
      <c r="D482" s="24"/>
      <c r="E482" s="24"/>
      <c r="F482" s="24"/>
      <c r="G482" s="24"/>
      <c r="H482" s="24"/>
      <c r="I482" s="24"/>
      <c r="J482" s="24"/>
      <c r="K482" s="24"/>
      <c r="L482" s="73"/>
      <c r="M482" s="24"/>
      <c r="N482" s="24"/>
      <c r="O482" s="24"/>
      <c r="P482" s="24"/>
      <c r="Q482" s="24"/>
      <c r="R482" s="24"/>
      <c r="S482" s="24"/>
      <c r="T482" s="24"/>
    </row>
    <row r="483" spans="1:20">
      <c r="A483" s="22"/>
      <c r="B483" s="22"/>
      <c r="C483" s="24"/>
      <c r="D483" s="24"/>
      <c r="E483" s="24"/>
      <c r="F483" s="24"/>
      <c r="G483" s="24"/>
      <c r="H483" s="24"/>
      <c r="I483" s="24"/>
      <c r="J483" s="24"/>
      <c r="K483" s="24"/>
      <c r="L483" s="73"/>
      <c r="M483" s="24"/>
      <c r="N483" s="24"/>
      <c r="O483" s="24"/>
      <c r="P483" s="24"/>
      <c r="Q483" s="24"/>
      <c r="R483" s="24"/>
      <c r="S483" s="24"/>
      <c r="T483" s="24"/>
    </row>
    <row r="484" spans="1:20">
      <c r="A484" s="22"/>
      <c r="B484" s="22"/>
      <c r="C484" s="24"/>
      <c r="D484" s="24"/>
      <c r="E484" s="24"/>
      <c r="F484" s="24"/>
      <c r="G484" s="24"/>
      <c r="H484" s="24"/>
      <c r="I484" s="24"/>
      <c r="J484" s="24"/>
      <c r="K484" s="24"/>
      <c r="L484" s="73"/>
      <c r="M484" s="24"/>
      <c r="N484" s="24"/>
      <c r="O484" s="24"/>
      <c r="P484" s="24"/>
      <c r="Q484" s="24"/>
      <c r="R484" s="24"/>
      <c r="S484" s="24"/>
      <c r="T484" s="24"/>
    </row>
    <row r="485" spans="1:20">
      <c r="A485" s="22"/>
      <c r="B485" s="22"/>
      <c r="C485" s="24"/>
      <c r="D485" s="24"/>
      <c r="E485" s="24"/>
      <c r="F485" s="24"/>
      <c r="G485" s="24"/>
      <c r="H485" s="24"/>
      <c r="I485" s="24"/>
      <c r="J485" s="24"/>
      <c r="K485" s="24"/>
      <c r="L485" s="73"/>
      <c r="M485" s="24"/>
      <c r="N485" s="24"/>
      <c r="O485" s="24"/>
      <c r="P485" s="24"/>
      <c r="Q485" s="24"/>
      <c r="R485" s="24"/>
      <c r="S485" s="24"/>
      <c r="T485" s="24"/>
    </row>
    <row r="486" spans="1:20">
      <c r="A486" s="22"/>
      <c r="B486" s="22"/>
      <c r="C486" s="24"/>
      <c r="D486" s="24"/>
      <c r="E486" s="24"/>
      <c r="F486" s="24"/>
      <c r="G486" s="24"/>
      <c r="H486" s="24"/>
      <c r="I486" s="24"/>
      <c r="J486" s="24"/>
      <c r="K486" s="24"/>
      <c r="L486" s="73"/>
      <c r="M486" s="24"/>
      <c r="N486" s="24"/>
      <c r="O486" s="24"/>
      <c r="P486" s="24"/>
      <c r="Q486" s="24"/>
      <c r="R486" s="24"/>
      <c r="S486" s="24"/>
      <c r="T486" s="24"/>
    </row>
    <row r="487" spans="1:20">
      <c r="A487" s="22"/>
      <c r="B487" s="22"/>
      <c r="C487" s="24"/>
      <c r="D487" s="24"/>
      <c r="E487" s="24"/>
      <c r="F487" s="24"/>
      <c r="G487" s="24"/>
      <c r="H487" s="24"/>
      <c r="I487" s="24"/>
      <c r="J487" s="24"/>
      <c r="K487" s="24"/>
      <c r="L487" s="73"/>
      <c r="M487" s="24"/>
      <c r="N487" s="24"/>
      <c r="O487" s="24"/>
      <c r="P487" s="24"/>
      <c r="Q487" s="24"/>
      <c r="R487" s="24"/>
      <c r="S487" s="24"/>
      <c r="T487" s="24"/>
    </row>
    <row r="488" spans="1:20">
      <c r="A488" s="22"/>
      <c r="B488" s="22"/>
      <c r="C488" s="24"/>
      <c r="D488" s="24"/>
      <c r="E488" s="24"/>
      <c r="F488" s="24"/>
      <c r="G488" s="24"/>
      <c r="H488" s="24"/>
      <c r="I488" s="24"/>
      <c r="J488" s="24"/>
      <c r="K488" s="24"/>
      <c r="L488" s="73"/>
      <c r="M488" s="24"/>
      <c r="N488" s="24"/>
      <c r="O488" s="24"/>
      <c r="P488" s="24"/>
      <c r="Q488" s="24"/>
      <c r="R488" s="24"/>
      <c r="S488" s="24"/>
      <c r="T488" s="24"/>
    </row>
    <row r="489" spans="1:20">
      <c r="A489" s="22"/>
      <c r="B489" s="22"/>
      <c r="C489" s="24"/>
      <c r="D489" s="24"/>
      <c r="E489" s="24"/>
      <c r="F489" s="24"/>
      <c r="G489" s="24"/>
      <c r="H489" s="24"/>
      <c r="I489" s="24"/>
      <c r="J489" s="24"/>
      <c r="K489" s="24"/>
      <c r="L489" s="73"/>
      <c r="M489" s="24"/>
      <c r="N489" s="24"/>
      <c r="O489" s="24"/>
      <c r="P489" s="24"/>
      <c r="Q489" s="24"/>
      <c r="R489" s="24"/>
      <c r="S489" s="24"/>
      <c r="T489" s="24"/>
    </row>
    <row r="490" spans="1:20">
      <c r="A490" s="22"/>
      <c r="B490" s="22"/>
      <c r="C490" s="24"/>
      <c r="D490" s="24"/>
      <c r="E490" s="24"/>
      <c r="F490" s="24"/>
      <c r="G490" s="24"/>
      <c r="H490" s="24"/>
      <c r="I490" s="24"/>
      <c r="J490" s="24"/>
      <c r="K490" s="24"/>
      <c r="L490" s="73"/>
      <c r="M490" s="24"/>
      <c r="N490" s="24"/>
      <c r="O490" s="24"/>
      <c r="P490" s="24"/>
      <c r="Q490" s="24"/>
      <c r="R490" s="24"/>
      <c r="S490" s="24"/>
      <c r="T490" s="24"/>
    </row>
    <row r="491" spans="1:20">
      <c r="A491" s="22"/>
      <c r="B491" s="22"/>
      <c r="C491" s="24"/>
      <c r="D491" s="24"/>
      <c r="E491" s="24"/>
      <c r="F491" s="24"/>
      <c r="G491" s="24"/>
      <c r="H491" s="24"/>
      <c r="I491" s="24"/>
      <c r="J491" s="24"/>
      <c r="K491" s="24"/>
      <c r="L491" s="73"/>
      <c r="M491" s="24"/>
      <c r="N491" s="24"/>
      <c r="O491" s="24"/>
      <c r="P491" s="24"/>
      <c r="Q491" s="24"/>
      <c r="R491" s="24"/>
      <c r="S491" s="24"/>
      <c r="T491" s="24"/>
    </row>
    <row r="492" spans="1:20">
      <c r="A492" s="22"/>
      <c r="B492" s="22"/>
      <c r="C492" s="24"/>
      <c r="D492" s="24"/>
      <c r="E492" s="24"/>
      <c r="F492" s="24"/>
      <c r="G492" s="24"/>
      <c r="H492" s="24"/>
      <c r="I492" s="24"/>
      <c r="J492" s="24"/>
      <c r="K492" s="24"/>
      <c r="L492" s="73"/>
      <c r="M492" s="24"/>
      <c r="N492" s="24"/>
      <c r="O492" s="24"/>
      <c r="P492" s="24"/>
      <c r="Q492" s="24"/>
      <c r="R492" s="24"/>
      <c r="S492" s="24"/>
      <c r="T492" s="24"/>
    </row>
    <row r="493" spans="1:20">
      <c r="A493" s="22"/>
      <c r="B493" s="22"/>
      <c r="C493" s="24"/>
      <c r="D493" s="24"/>
      <c r="E493" s="24"/>
      <c r="F493" s="24"/>
      <c r="G493" s="24"/>
      <c r="H493" s="24"/>
      <c r="I493" s="24"/>
      <c r="J493" s="24"/>
      <c r="K493" s="24"/>
      <c r="L493" s="73"/>
      <c r="M493" s="24"/>
      <c r="N493" s="24"/>
      <c r="O493" s="24"/>
      <c r="P493" s="24"/>
      <c r="Q493" s="24"/>
      <c r="R493" s="24"/>
      <c r="S493" s="24"/>
      <c r="T493" s="24"/>
    </row>
    <row r="494" spans="1:20">
      <c r="A494" s="22"/>
      <c r="B494" s="22"/>
      <c r="C494" s="24"/>
      <c r="D494" s="24"/>
      <c r="E494" s="24"/>
      <c r="F494" s="24"/>
      <c r="G494" s="24"/>
      <c r="H494" s="24"/>
      <c r="I494" s="24"/>
      <c r="J494" s="24"/>
      <c r="K494" s="24"/>
      <c r="L494" s="73"/>
      <c r="M494" s="24"/>
      <c r="N494" s="24"/>
      <c r="O494" s="24"/>
      <c r="P494" s="24"/>
      <c r="Q494" s="24"/>
      <c r="R494" s="24"/>
      <c r="S494" s="24"/>
      <c r="T494" s="24"/>
    </row>
    <row r="495" spans="1:20">
      <c r="A495" s="22"/>
      <c r="B495" s="22"/>
      <c r="C495" s="24"/>
      <c r="D495" s="24"/>
      <c r="E495" s="24"/>
      <c r="F495" s="24"/>
      <c r="G495" s="24"/>
      <c r="H495" s="24"/>
      <c r="I495" s="24"/>
      <c r="J495" s="24"/>
      <c r="K495" s="24"/>
      <c r="L495" s="73"/>
      <c r="M495" s="24"/>
      <c r="N495" s="24"/>
      <c r="O495" s="24"/>
      <c r="P495" s="24"/>
      <c r="Q495" s="24"/>
      <c r="R495" s="24"/>
      <c r="S495" s="24"/>
      <c r="T495" s="24"/>
    </row>
    <row r="496" spans="1:20">
      <c r="A496" s="22"/>
      <c r="B496" s="22"/>
      <c r="C496" s="24"/>
      <c r="D496" s="24"/>
      <c r="E496" s="24"/>
      <c r="F496" s="24"/>
      <c r="G496" s="24"/>
      <c r="H496" s="24"/>
      <c r="I496" s="24"/>
      <c r="J496" s="24"/>
      <c r="K496" s="24"/>
      <c r="O496" s="24"/>
      <c r="P496" s="24"/>
      <c r="Q496" s="24"/>
      <c r="R496" s="24"/>
      <c r="S496" s="24"/>
      <c r="T496" s="24"/>
    </row>
    <row r="497" spans="1:20">
      <c r="A497" s="22"/>
      <c r="B497" s="22"/>
      <c r="C497" s="24"/>
      <c r="D497" s="24"/>
      <c r="E497" s="24"/>
      <c r="F497" s="24"/>
      <c r="G497" s="24"/>
      <c r="H497" s="24"/>
      <c r="I497" s="24"/>
      <c r="J497" s="24"/>
      <c r="K497" s="24"/>
      <c r="O497" s="24"/>
      <c r="P497" s="24"/>
      <c r="Q497" s="24"/>
      <c r="R497" s="24"/>
      <c r="S497" s="24"/>
      <c r="T497" s="24"/>
    </row>
    <row r="498" spans="1:20">
      <c r="A498" s="22"/>
      <c r="B498" s="22"/>
    </row>
    <row r="499" spans="1:20">
      <c r="A499" s="22"/>
      <c r="B499" s="22"/>
    </row>
    <row r="500" spans="1:20">
      <c r="A500" s="22"/>
      <c r="B500" s="22"/>
    </row>
    <row r="501" spans="1:20">
      <c r="A501" s="22"/>
      <c r="B501" s="22"/>
    </row>
    <row r="502" spans="1:20">
      <c r="A502" s="22"/>
      <c r="B502" s="22"/>
    </row>
    <row r="503" spans="1:20">
      <c r="A503" s="22"/>
      <c r="B503" s="22"/>
    </row>
    <row r="504" spans="1:20">
      <c r="A504" s="22"/>
      <c r="B504" s="22"/>
    </row>
    <row r="505" spans="1:20">
      <c r="A505" s="22"/>
      <c r="B505" s="22"/>
    </row>
    <row r="506" spans="1:20">
      <c r="A506" s="22"/>
      <c r="B506" s="22"/>
    </row>
    <row r="507" spans="1:20">
      <c r="A507" s="22"/>
      <c r="B507" s="22"/>
    </row>
    <row r="508" spans="1:20">
      <c r="A508" s="22"/>
      <c r="B508" s="22"/>
    </row>
    <row r="509" spans="1:20">
      <c r="A509" s="22"/>
      <c r="B509" s="22"/>
    </row>
    <row r="510" spans="1:20">
      <c r="A510" s="22"/>
      <c r="B510" s="22"/>
    </row>
  </sheetData>
  <sheetProtection sheet="1" objects="1" scenarios="1"/>
  <mergeCells count="4">
    <mergeCell ref="D1:F1"/>
    <mergeCell ref="K1:N1"/>
    <mergeCell ref="G1:I1"/>
    <mergeCell ref="K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5:L28"/>
  <sheetViews>
    <sheetView topLeftCell="A4" workbookViewId="0">
      <selection activeCell="K30" sqref="K30"/>
    </sheetView>
  </sheetViews>
  <sheetFormatPr baseColWidth="10" defaultRowHeight="15"/>
  <sheetData>
    <row r="25" spans="5:12">
      <c r="E25" t="s">
        <v>104</v>
      </c>
      <c r="L25" t="s">
        <v>103</v>
      </c>
    </row>
    <row r="28" spans="5:12">
      <c r="J28" t="s">
        <v>105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7:L27"/>
  <sheetViews>
    <sheetView workbookViewId="0">
      <selection activeCell="L27" sqref="L27"/>
    </sheetView>
  </sheetViews>
  <sheetFormatPr baseColWidth="10" defaultRowHeight="15"/>
  <sheetData>
    <row r="27" spans="5:12">
      <c r="E27" t="s">
        <v>104</v>
      </c>
      <c r="L27" t="s">
        <v>103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4</vt:i4>
      </vt:variant>
      <vt:variant>
        <vt:lpstr>Diagrammer</vt:lpstr>
      </vt:variant>
      <vt:variant>
        <vt:i4>2</vt:i4>
      </vt:variant>
      <vt:variant>
        <vt:lpstr>Navngitte områder</vt:lpstr>
      </vt:variant>
      <vt:variant>
        <vt:i4>4</vt:i4>
      </vt:variant>
    </vt:vector>
  </HeadingPairs>
  <TitlesOfParts>
    <vt:vector size="10" baseType="lpstr">
      <vt:lpstr>Høstpløyd</vt:lpstr>
      <vt:lpstr>Vårpløyd</vt:lpstr>
      <vt:lpstr>Begge total</vt:lpstr>
      <vt:lpstr>Begge laglig</vt:lpstr>
      <vt:lpstr>Tilskudd per daa</vt:lpstr>
      <vt:lpstr>Merkostnad med vårpløying</vt:lpstr>
      <vt:lpstr>LAG</vt:lpstr>
      <vt:lpstr>Høstpløyd!Print_Area_MI</vt:lpstr>
      <vt:lpstr>Høstpløyd!Utskriftsområde</vt:lpstr>
      <vt:lpstr>VED</vt:lpstr>
    </vt:vector>
  </TitlesOfParts>
  <Company>Høgskolen i Hedmark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Kjell Mangerud</cp:lastModifiedBy>
  <cp:lastPrinted>2017-05-23T10:30:59Z</cp:lastPrinted>
  <dcterms:created xsi:type="dcterms:W3CDTF">2006-03-04T11:51:16Z</dcterms:created>
  <dcterms:modified xsi:type="dcterms:W3CDTF">2018-01-18T15:08:37Z</dcterms:modified>
</cp:coreProperties>
</file>