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comments6.xml" ContentType="application/vnd.openxmlformats-officedocument.spreadsheetml.comments+xml"/>
  <Override PartName="/xl/drawings/drawing5.xml" ContentType="application/vnd.openxmlformats-officedocument.drawing+xml"/>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27900" windowHeight="7305" tabRatio="878" firstSheet="1" activeTab="1"/>
  </bookViews>
  <sheets>
    <sheet name="Forside" sheetId="1" r:id="rId1"/>
    <sheet name="Forsyningskjeder" sheetId="3" r:id="rId2"/>
    <sheet name="Grafer" sheetId="17" r:id="rId3"/>
    <sheet name="Termer og definisjoner" sheetId="12" r:id="rId4"/>
    <sheet name="Forutsetninger" sheetId="2" r:id="rId5"/>
    <sheet name="Hogst" sheetId="5" r:id="rId6"/>
    <sheet name="Bunting" sheetId="15" r:id="rId7"/>
    <sheet name="Terrengtransport" sheetId="6" r:id="rId8"/>
    <sheet name="Flishogging lunneplass" sheetId="16" r:id="rId9"/>
    <sheet name="Vegtrans1" sheetId="8" r:id="rId10"/>
    <sheet name="Flishogging terminal" sheetId="10" r:id="rId11"/>
    <sheet name="Vegtrans2" sheetId="9" r:id="rId12"/>
    <sheet name="Lager kostnader" sheetId="14" r:id="rId13"/>
    <sheet name="Ark2" sheetId="13" r:id="rId14"/>
    <sheet name="Ark3" sheetId="19" r:id="rId15"/>
  </sheets>
  <definedNames>
    <definedName name="hogst">Hogst!$Z$2:$Z$8</definedName>
    <definedName name="L_Forutsetninger">Forutsetninger!$B$2:$B$35</definedName>
    <definedName name="ProsessTerrengListe">Bunting!$Y$2:$Y$7</definedName>
    <definedName name="Termihoggere">'Flishogging terminal'!$Y$2:$Y$11</definedName>
    <definedName name="Terrengprosess">Bunting!$Y$2:$Y$2</definedName>
    <definedName name="Terrengtransport">Terrengtransport!$AC$3:$AC$12</definedName>
    <definedName name="Vegkantlunne">'Flishogging lunneplass'!$X$4:$X$11</definedName>
    <definedName name="Vegtrans1">Vegtrans1!$AA$2:$AA$11</definedName>
    <definedName name="Vegtrans2">Vegtrans2!$V$2:$V$4</definedName>
    <definedName name="VKlunne2">'Flishogging lunneplass'!$Z$4:$Z$5</definedName>
    <definedName name="VT1_virkesform">Vegtrans1!$AD$2:$AD$5</definedName>
  </definedNames>
  <calcPr calcId="145621"/>
</workbook>
</file>

<file path=xl/calcChain.xml><?xml version="1.0" encoding="utf-8"?>
<calcChain xmlns="http://schemas.openxmlformats.org/spreadsheetml/2006/main">
  <c r="B33" i="3" l="1"/>
  <c r="B34" i="3"/>
  <c r="B35" i="3"/>
  <c r="B36" i="3"/>
  <c r="B37" i="3"/>
  <c r="B38" i="3"/>
  <c r="B39" i="3"/>
  <c r="B32" i="3"/>
  <c r="U2" i="2"/>
  <c r="I25" i="3"/>
  <c r="I26" i="3"/>
  <c r="I27" i="3"/>
  <c r="I24" i="3"/>
  <c r="AA11" i="3"/>
  <c r="AA12" i="3"/>
  <c r="AA13" i="3"/>
  <c r="AA6" i="3"/>
  <c r="AA7" i="3"/>
  <c r="Z6" i="3"/>
  <c r="Z7" i="3"/>
  <c r="Z8" i="3"/>
  <c r="AA8" i="3" s="1"/>
  <c r="Z9" i="3"/>
  <c r="AA9" i="3" s="1"/>
  <c r="Z11" i="3"/>
  <c r="Z12" i="3"/>
  <c r="Z13" i="3"/>
  <c r="AA10" i="3"/>
  <c r="Z10" i="3"/>
  <c r="A25" i="3"/>
  <c r="A26" i="3"/>
  <c r="A27" i="3"/>
  <c r="A20" i="3"/>
  <c r="A21" i="3"/>
  <c r="A22" i="3"/>
  <c r="A23" i="3"/>
  <c r="A24" i="3"/>
  <c r="E33" i="3"/>
  <c r="E34" i="3"/>
  <c r="E35" i="3"/>
  <c r="E36" i="3"/>
  <c r="E37" i="3"/>
  <c r="E38" i="3"/>
  <c r="E39" i="3"/>
  <c r="E32" i="3"/>
  <c r="D33" i="3"/>
  <c r="D34" i="3"/>
  <c r="D35" i="3"/>
  <c r="D36" i="3"/>
  <c r="D37" i="3"/>
  <c r="D38" i="3"/>
  <c r="D39" i="3"/>
  <c r="D32" i="3"/>
  <c r="C33" i="3"/>
  <c r="C34" i="3"/>
  <c r="C35" i="3"/>
  <c r="C36" i="3"/>
  <c r="C37" i="3"/>
  <c r="C38" i="3"/>
  <c r="C39" i="3"/>
  <c r="C32" i="3"/>
  <c r="B43" i="2"/>
  <c r="G24" i="3"/>
  <c r="G25" i="3"/>
  <c r="G26" i="3"/>
  <c r="G27" i="3"/>
  <c r="G20" i="3"/>
  <c r="E21" i="3"/>
  <c r="E22" i="3"/>
  <c r="E23" i="3"/>
  <c r="C21" i="3"/>
  <c r="C24" i="3"/>
  <c r="C25" i="3"/>
  <c r="C26" i="3"/>
  <c r="C27" i="3"/>
  <c r="C20" i="3"/>
  <c r="C138" i="16"/>
  <c r="D138" i="16"/>
  <c r="E138" i="16"/>
  <c r="F138" i="16"/>
  <c r="G138" i="16"/>
  <c r="H138" i="16"/>
  <c r="B138" i="16"/>
  <c r="F80" i="16"/>
  <c r="G80" i="16"/>
  <c r="C27" i="16"/>
  <c r="D27" i="16"/>
  <c r="E27" i="16"/>
  <c r="F27" i="16"/>
  <c r="G27" i="16"/>
  <c r="H27" i="16"/>
  <c r="B27" i="16"/>
  <c r="C30" i="6"/>
  <c r="D30" i="6"/>
  <c r="E30" i="6"/>
  <c r="F30" i="6"/>
  <c r="G30" i="6"/>
  <c r="H30" i="6"/>
  <c r="I30" i="6"/>
  <c r="J30" i="6"/>
  <c r="B30" i="6"/>
  <c r="C24" i="15" l="1"/>
  <c r="D24" i="15"/>
  <c r="E24" i="15"/>
  <c r="F24" i="15"/>
  <c r="B24" i="15"/>
  <c r="B134" i="10"/>
  <c r="B135" i="10" s="1"/>
  <c r="C134" i="10"/>
  <c r="C135" i="10" s="1"/>
  <c r="D134" i="10"/>
  <c r="E134" i="10"/>
  <c r="F134" i="10"/>
  <c r="F135" i="10" s="1"/>
  <c r="G134" i="10"/>
  <c r="G135" i="10" s="1"/>
  <c r="D135" i="10"/>
  <c r="E135" i="10"/>
  <c r="D86" i="10"/>
  <c r="H66" i="10"/>
  <c r="B66" i="10"/>
  <c r="C66" i="10"/>
  <c r="D66" i="10"/>
  <c r="E66" i="10"/>
  <c r="F66" i="10"/>
  <c r="G66" i="10"/>
  <c r="I66" i="10"/>
  <c r="J66" i="10"/>
  <c r="M13" i="2"/>
  <c r="M12" i="2"/>
  <c r="M14" i="2"/>
  <c r="M15" i="2"/>
  <c r="O3" i="2"/>
  <c r="M6" i="2"/>
  <c r="K63" i="6" l="1"/>
  <c r="K68" i="6" s="1"/>
  <c r="V2" i="9"/>
  <c r="Z2" i="10"/>
  <c r="Z3" i="10" s="1"/>
  <c r="Z4" i="10" s="1"/>
  <c r="U5" i="9"/>
  <c r="U4" i="9"/>
  <c r="U3" i="9"/>
  <c r="U2" i="9"/>
  <c r="AA2" i="8"/>
  <c r="AA3" i="8" s="1"/>
  <c r="Y11" i="10"/>
  <c r="Y10" i="10"/>
  <c r="Y9" i="10"/>
  <c r="Y8" i="10"/>
  <c r="Y7" i="10"/>
  <c r="Y6" i="10"/>
  <c r="Y5" i="10"/>
  <c r="Y4" i="10"/>
  <c r="Y3" i="10"/>
  <c r="Y2" i="10"/>
  <c r="X4" i="16"/>
  <c r="W12" i="16"/>
  <c r="Z11" i="8"/>
  <c r="Z10" i="8"/>
  <c r="Z9" i="8"/>
  <c r="Z8" i="8"/>
  <c r="Z7" i="8"/>
  <c r="Z6" i="8"/>
  <c r="Z5" i="8"/>
  <c r="Z4" i="8"/>
  <c r="Z3" i="8"/>
  <c r="Z2" i="8"/>
  <c r="W11" i="16"/>
  <c r="W10" i="16"/>
  <c r="W9" i="16"/>
  <c r="W8" i="16"/>
  <c r="W7" i="16"/>
  <c r="W6" i="16"/>
  <c r="W5" i="16"/>
  <c r="W4" i="16"/>
  <c r="AC3" i="6"/>
  <c r="Y2" i="15"/>
  <c r="Y3" i="15" s="1"/>
  <c r="X5" i="16" l="1"/>
  <c r="X6" i="16" s="1"/>
  <c r="AC4" i="6"/>
  <c r="V3" i="9"/>
  <c r="V4" i="9" s="1"/>
  <c r="V5" i="9" s="1"/>
  <c r="Z5" i="10"/>
  <c r="Z6" i="10" s="1"/>
  <c r="AA4" i="8"/>
  <c r="X7" i="16" l="1"/>
  <c r="X8" i="16" s="1"/>
  <c r="AC6" i="6"/>
  <c r="AC7" i="6" s="1"/>
  <c r="AC5" i="6"/>
  <c r="Z7" i="10"/>
  <c r="Z8" i="10" s="1"/>
  <c r="Z9" i="10" s="1"/>
  <c r="AA5" i="8"/>
  <c r="AA6" i="8" s="1"/>
  <c r="X9" i="16" l="1"/>
  <c r="Z10" i="10"/>
  <c r="Z11" i="10" s="1"/>
  <c r="AA7" i="8"/>
  <c r="AA8" i="8" s="1"/>
  <c r="AA9" i="8" s="1"/>
  <c r="AC8" i="6"/>
  <c r="AC9" i="6" s="1"/>
  <c r="AC10" i="6" s="1"/>
  <c r="AC11" i="6" s="1"/>
  <c r="AC12" i="6" s="1"/>
  <c r="X10" i="16" l="1"/>
  <c r="AA10" i="8"/>
  <c r="AA11" i="8" s="1"/>
  <c r="X2" i="15" a="1"/>
  <c r="X4" i="15" s="1"/>
  <c r="X3" i="15"/>
  <c r="C45" i="3"/>
  <c r="H36" i="3"/>
  <c r="H37" i="3"/>
  <c r="H38" i="3"/>
  <c r="H39" i="3"/>
  <c r="G36" i="3"/>
  <c r="G37" i="3"/>
  <c r="G38" i="3"/>
  <c r="G39" i="3"/>
  <c r="G32" i="3"/>
  <c r="B44" i="3"/>
  <c r="B31" i="3"/>
  <c r="B19" i="3"/>
  <c r="B5" i="3"/>
  <c r="C44" i="3"/>
  <c r="C31" i="3"/>
  <c r="C19" i="3"/>
  <c r="C5" i="3"/>
  <c r="D44" i="3"/>
  <c r="D31" i="3"/>
  <c r="D19" i="3"/>
  <c r="H44" i="3"/>
  <c r="H31" i="3"/>
  <c r="G44" i="3"/>
  <c r="G31" i="3"/>
  <c r="F44" i="3"/>
  <c r="F31" i="3"/>
  <c r="E44" i="3"/>
  <c r="E31" i="3"/>
  <c r="E19" i="3"/>
  <c r="F19" i="3"/>
  <c r="G19" i="3"/>
  <c r="H19" i="3"/>
  <c r="H5" i="3"/>
  <c r="G5" i="3"/>
  <c r="F5" i="3"/>
  <c r="E5" i="3"/>
  <c r="D5" i="3"/>
  <c r="H24" i="3"/>
  <c r="H25" i="3"/>
  <c r="H26" i="3"/>
  <c r="H27" i="3"/>
  <c r="C76" i="16"/>
  <c r="D76" i="16"/>
  <c r="E76" i="16"/>
  <c r="C77" i="16"/>
  <c r="D77" i="16"/>
  <c r="E77" i="16"/>
  <c r="C82" i="16"/>
  <c r="D82" i="16"/>
  <c r="E82" i="16"/>
  <c r="C87" i="16"/>
  <c r="D87" i="16"/>
  <c r="E87" i="16"/>
  <c r="B77" i="16"/>
  <c r="B76" i="16"/>
  <c r="F76" i="16"/>
  <c r="G76" i="16"/>
  <c r="H76" i="16"/>
  <c r="A110" i="16"/>
  <c r="A96" i="16"/>
  <c r="A97" i="16"/>
  <c r="A98" i="16"/>
  <c r="A99" i="16"/>
  <c r="A100" i="16"/>
  <c r="A101" i="16"/>
  <c r="A102" i="16"/>
  <c r="A103" i="16"/>
  <c r="A104" i="16"/>
  <c r="A105" i="16"/>
  <c r="A106" i="16"/>
  <c r="A107" i="16"/>
  <c r="A108" i="16"/>
  <c r="A109" i="16"/>
  <c r="A111" i="16"/>
  <c r="A112" i="16"/>
  <c r="B58" i="10"/>
  <c r="B26" i="10"/>
  <c r="X11" i="16" l="1"/>
  <c r="X12" i="16" s="1"/>
  <c r="X6" i="15"/>
  <c r="X7" i="15"/>
  <c r="X2" i="15"/>
  <c r="X5" i="15"/>
  <c r="C7" i="8"/>
  <c r="D7" i="8"/>
  <c r="E7" i="8"/>
  <c r="F7" i="8"/>
  <c r="G7" i="8"/>
  <c r="H7" i="8"/>
  <c r="I7" i="8"/>
  <c r="J7" i="8"/>
  <c r="B7" i="8"/>
  <c r="H9" i="8"/>
  <c r="I9" i="8"/>
  <c r="J9" i="8"/>
  <c r="H8" i="8"/>
  <c r="I8" i="8"/>
  <c r="J8" i="8"/>
  <c r="B8" i="9"/>
  <c r="B7" i="9"/>
  <c r="C24" i="9"/>
  <c r="C36" i="9" s="1"/>
  <c r="C4" i="9"/>
  <c r="C29" i="9" s="1"/>
  <c r="C32" i="9" s="1"/>
  <c r="C33" i="9"/>
  <c r="C34" i="9" s="1"/>
  <c r="I65" i="10"/>
  <c r="J65" i="10"/>
  <c r="J87" i="10" s="1"/>
  <c r="I74" i="10"/>
  <c r="J74" i="10"/>
  <c r="I75" i="10"/>
  <c r="J75" i="10"/>
  <c r="I76" i="10"/>
  <c r="J76" i="10"/>
  <c r="I80" i="10"/>
  <c r="J80" i="10"/>
  <c r="I85" i="10"/>
  <c r="J85" i="10"/>
  <c r="H80" i="10"/>
  <c r="H75" i="10"/>
  <c r="H74" i="10"/>
  <c r="C58" i="10"/>
  <c r="D58" i="10"/>
  <c r="E58" i="10"/>
  <c r="F58" i="10"/>
  <c r="G58" i="10"/>
  <c r="H58" i="10"/>
  <c r="I58" i="10"/>
  <c r="J58" i="10"/>
  <c r="C26" i="10"/>
  <c r="C27" i="10" s="1"/>
  <c r="D26" i="10"/>
  <c r="D27" i="10" s="1"/>
  <c r="E26" i="10"/>
  <c r="E27" i="10" s="1"/>
  <c r="F26" i="10"/>
  <c r="F27" i="10" s="1"/>
  <c r="G26" i="10"/>
  <c r="G27" i="10" s="1"/>
  <c r="B27" i="10"/>
  <c r="I26" i="10"/>
  <c r="I27" i="10" s="1"/>
  <c r="J26" i="10"/>
  <c r="J27" i="10" s="1"/>
  <c r="H26" i="10"/>
  <c r="H27" i="10" s="1"/>
  <c r="H32" i="8" l="1"/>
  <c r="H33" i="8" s="1"/>
  <c r="H134" i="10"/>
  <c r="H135" i="10" s="1"/>
  <c r="I77" i="10"/>
  <c r="I134" i="10"/>
  <c r="I135" i="10" s="1"/>
  <c r="I32" i="8"/>
  <c r="I33" i="8" s="1"/>
  <c r="J32" i="8"/>
  <c r="J33" i="8" s="1"/>
  <c r="C35" i="9"/>
  <c r="C37" i="9" s="1"/>
  <c r="C38" i="9" s="1"/>
  <c r="J77" i="10"/>
  <c r="I87" i="10"/>
  <c r="J134" i="10"/>
  <c r="J135" i="10" s="1"/>
  <c r="I25" i="8"/>
  <c r="J25" i="8"/>
  <c r="H25" i="8"/>
  <c r="I31" i="8"/>
  <c r="I34" i="8" s="1"/>
  <c r="J31" i="8"/>
  <c r="J34" i="8" s="1"/>
  <c r="J37" i="8" s="1"/>
  <c r="I35" i="8"/>
  <c r="I36" i="8" s="1"/>
  <c r="J35" i="8"/>
  <c r="J36" i="8" s="1"/>
  <c r="I38" i="8"/>
  <c r="J38" i="8"/>
  <c r="H38" i="8"/>
  <c r="B38" i="8"/>
  <c r="C38" i="8"/>
  <c r="D38" i="8"/>
  <c r="E38" i="8"/>
  <c r="F38" i="8"/>
  <c r="G38" i="8"/>
  <c r="G82" i="16"/>
  <c r="G102" i="16" s="1"/>
  <c r="H82" i="16"/>
  <c r="B82" i="16"/>
  <c r="F82" i="16"/>
  <c r="F102" i="16" s="1"/>
  <c r="B47" i="6"/>
  <c r="C47" i="6"/>
  <c r="D47" i="6"/>
  <c r="E47" i="6"/>
  <c r="F47" i="6"/>
  <c r="G47" i="6"/>
  <c r="B44" i="6"/>
  <c r="C44" i="6"/>
  <c r="D44" i="6"/>
  <c r="E44" i="6"/>
  <c r="F44" i="6"/>
  <c r="G44" i="6"/>
  <c r="I58" i="6"/>
  <c r="J58" i="6"/>
  <c r="I59" i="6"/>
  <c r="J59" i="6"/>
  <c r="I60" i="6"/>
  <c r="I62" i="6" s="1"/>
  <c r="I63" i="6" s="1"/>
  <c r="J60" i="6"/>
  <c r="I61" i="6"/>
  <c r="J61" i="6"/>
  <c r="I71" i="6"/>
  <c r="J71" i="6"/>
  <c r="I72" i="6"/>
  <c r="J72" i="6"/>
  <c r="I73" i="6"/>
  <c r="J73" i="6"/>
  <c r="I77" i="6"/>
  <c r="J77" i="6"/>
  <c r="I81" i="6"/>
  <c r="J81" i="6"/>
  <c r="I83" i="6"/>
  <c r="J83" i="6"/>
  <c r="J74" i="6" l="1"/>
  <c r="Y4" i="15"/>
  <c r="Y5" i="15" s="1"/>
  <c r="J39" i="8"/>
  <c r="C40" i="9"/>
  <c r="C47" i="9" s="1"/>
  <c r="C52" i="9" s="1"/>
  <c r="I37" i="8"/>
  <c r="I39" i="8" s="1"/>
  <c r="I74" i="6"/>
  <c r="J62" i="6"/>
  <c r="J63" i="6" s="1"/>
  <c r="I47" i="6"/>
  <c r="I82" i="6" s="1"/>
  <c r="J47" i="6"/>
  <c r="J82" i="6" s="1"/>
  <c r="H47" i="6"/>
  <c r="I44" i="6"/>
  <c r="I80" i="6" s="1"/>
  <c r="J44" i="6"/>
  <c r="J80" i="6" s="1"/>
  <c r="H44" i="6"/>
  <c r="H77" i="6"/>
  <c r="H72" i="6"/>
  <c r="H71" i="6"/>
  <c r="H60" i="6"/>
  <c r="H58" i="6"/>
  <c r="C43" i="5"/>
  <c r="D43" i="5"/>
  <c r="E43" i="5"/>
  <c r="F43" i="5"/>
  <c r="G43" i="5"/>
  <c r="B43" i="5"/>
  <c r="B75" i="5" s="1"/>
  <c r="C46" i="5"/>
  <c r="D46" i="5"/>
  <c r="E46" i="5"/>
  <c r="F46" i="5"/>
  <c r="F77" i="5" s="1"/>
  <c r="G46" i="5"/>
  <c r="B46" i="5"/>
  <c r="B77" i="5" s="1"/>
  <c r="D47" i="15"/>
  <c r="E47" i="15"/>
  <c r="B47" i="15"/>
  <c r="B78" i="15" s="1"/>
  <c r="E44" i="15"/>
  <c r="C44" i="15"/>
  <c r="D44" i="15"/>
  <c r="C47" i="15"/>
  <c r="B44" i="15"/>
  <c r="B76" i="15" s="1"/>
  <c r="E18" i="2"/>
  <c r="F18" i="2"/>
  <c r="G18" i="2"/>
  <c r="G19" i="2" s="1"/>
  <c r="E19" i="2"/>
  <c r="D18" i="2"/>
  <c r="D19" i="2" s="1"/>
  <c r="U16" i="2"/>
  <c r="F19" i="2"/>
  <c r="C11" i="5"/>
  <c r="D11" i="5"/>
  <c r="E11" i="5"/>
  <c r="F11" i="5"/>
  <c r="G11" i="5"/>
  <c r="B11" i="5"/>
  <c r="E25" i="5"/>
  <c r="H104" i="5"/>
  <c r="F127" i="5"/>
  <c r="G127" i="5"/>
  <c r="E127" i="5"/>
  <c r="F65" i="5"/>
  <c r="G65" i="5"/>
  <c r="F66" i="5"/>
  <c r="G66" i="5"/>
  <c r="F67" i="5"/>
  <c r="G67" i="5"/>
  <c r="F71" i="5"/>
  <c r="G71" i="5"/>
  <c r="F76" i="5"/>
  <c r="G76" i="5"/>
  <c r="F78" i="5"/>
  <c r="G78" i="5"/>
  <c r="B65" i="5"/>
  <c r="C65" i="5"/>
  <c r="D65" i="5"/>
  <c r="B66" i="5"/>
  <c r="C66" i="5"/>
  <c r="D66" i="5"/>
  <c r="B71" i="5"/>
  <c r="C71" i="5"/>
  <c r="D71" i="5"/>
  <c r="B76" i="5"/>
  <c r="C76" i="5"/>
  <c r="D76" i="5"/>
  <c r="B78" i="5"/>
  <c r="C78" i="5"/>
  <c r="D78" i="5"/>
  <c r="E71" i="5"/>
  <c r="E66" i="5"/>
  <c r="E65" i="5"/>
  <c r="E56" i="5"/>
  <c r="F56" i="5"/>
  <c r="G56" i="5"/>
  <c r="E57" i="5"/>
  <c r="F57" i="5"/>
  <c r="G57" i="5"/>
  <c r="E58" i="5"/>
  <c r="E59" i="5" s="1"/>
  <c r="F58" i="5"/>
  <c r="F59" i="5" s="1"/>
  <c r="F60" i="5" s="1"/>
  <c r="F125" i="5" s="1"/>
  <c r="G58" i="5"/>
  <c r="G59" i="5" s="1"/>
  <c r="G60" i="5" s="1"/>
  <c r="G73" i="5" s="1"/>
  <c r="B56" i="5"/>
  <c r="C56" i="5"/>
  <c r="B57" i="5"/>
  <c r="C57" i="5"/>
  <c r="D57" i="5"/>
  <c r="D56" i="5"/>
  <c r="G77" i="5"/>
  <c r="F25" i="5"/>
  <c r="G25" i="5"/>
  <c r="C25" i="5"/>
  <c r="D25" i="5"/>
  <c r="B25" i="5"/>
  <c r="I40" i="8" l="1"/>
  <c r="I42" i="8"/>
  <c r="I49" i="8" s="1"/>
  <c r="I55" i="8" s="1"/>
  <c r="J40" i="8"/>
  <c r="J42" i="8"/>
  <c r="J49" i="8" s="1"/>
  <c r="J55" i="8" s="1"/>
  <c r="I84" i="6"/>
  <c r="Y6" i="15"/>
  <c r="Y7" i="15" s="1"/>
  <c r="J84" i="6"/>
  <c r="E77" i="5"/>
  <c r="G68" i="5"/>
  <c r="G88" i="5" s="1"/>
  <c r="G96" i="5"/>
  <c r="G69" i="5"/>
  <c r="G89" i="5" s="1"/>
  <c r="F69" i="5"/>
  <c r="F89" i="5" s="1"/>
  <c r="E75" i="5"/>
  <c r="F98" i="5"/>
  <c r="G72" i="5"/>
  <c r="G92" i="5" s="1"/>
  <c r="F87" i="5"/>
  <c r="F126" i="5"/>
  <c r="G98" i="5"/>
  <c r="G75" i="5"/>
  <c r="G95" i="5" s="1"/>
  <c r="F86" i="5"/>
  <c r="G91" i="5"/>
  <c r="E60" i="5"/>
  <c r="G93" i="5"/>
  <c r="F97" i="5"/>
  <c r="G97" i="5"/>
  <c r="F73" i="5"/>
  <c r="G87" i="5"/>
  <c r="G85" i="5"/>
  <c r="G126" i="5"/>
  <c r="G80" i="5"/>
  <c r="F75" i="5"/>
  <c r="F72" i="5"/>
  <c r="F96" i="5"/>
  <c r="F91" i="5"/>
  <c r="G86" i="5"/>
  <c r="G125" i="5"/>
  <c r="F80" i="5"/>
  <c r="F68" i="5"/>
  <c r="F88" i="5" s="1"/>
  <c r="F85" i="5"/>
  <c r="G61" i="5"/>
  <c r="G62" i="5"/>
  <c r="G117" i="5" s="1"/>
  <c r="F62" i="5"/>
  <c r="F106" i="5" s="1"/>
  <c r="F61" i="5"/>
  <c r="C127" i="15"/>
  <c r="D127" i="15"/>
  <c r="E86" i="15"/>
  <c r="E87" i="15"/>
  <c r="E88" i="15"/>
  <c r="E89" i="15"/>
  <c r="E90" i="15"/>
  <c r="E91" i="15"/>
  <c r="E92" i="15"/>
  <c r="E93" i="15"/>
  <c r="E94" i="15"/>
  <c r="E95" i="15"/>
  <c r="E96" i="15"/>
  <c r="E97" i="15"/>
  <c r="E98" i="15"/>
  <c r="E99" i="15"/>
  <c r="E100" i="15"/>
  <c r="E101" i="15"/>
  <c r="E102" i="15"/>
  <c r="E103" i="15"/>
  <c r="E85" i="15" s="1"/>
  <c r="E106" i="15"/>
  <c r="E107" i="15"/>
  <c r="E108" i="15"/>
  <c r="E109" i="15"/>
  <c r="E110" i="15"/>
  <c r="E111" i="15"/>
  <c r="E112" i="15"/>
  <c r="E113" i="15"/>
  <c r="E114" i="15"/>
  <c r="E115" i="15"/>
  <c r="E116" i="15"/>
  <c r="E117" i="15"/>
  <c r="E118" i="15"/>
  <c r="E119" i="15"/>
  <c r="E120" i="15"/>
  <c r="E121" i="15"/>
  <c r="E122" i="15"/>
  <c r="E123" i="15"/>
  <c r="E105" i="15" s="1"/>
  <c r="Y8" i="15" l="1" a="1"/>
  <c r="Y8" i="15" s="1"/>
  <c r="E97" i="5"/>
  <c r="E126" i="5"/>
  <c r="E69" i="5"/>
  <c r="E89" i="5" s="1"/>
  <c r="G70" i="5"/>
  <c r="G90" i="5" s="1"/>
  <c r="F70" i="5"/>
  <c r="F90" i="5" s="1"/>
  <c r="E91" i="5"/>
  <c r="E95" i="5"/>
  <c r="E62" i="5"/>
  <c r="E117" i="5" s="1"/>
  <c r="E125" i="5"/>
  <c r="E61" i="5"/>
  <c r="F109" i="5"/>
  <c r="F116" i="5"/>
  <c r="G115" i="5"/>
  <c r="F117" i="5"/>
  <c r="F105" i="5"/>
  <c r="G100" i="5"/>
  <c r="G120" i="5"/>
  <c r="G118" i="5"/>
  <c r="G113" i="5"/>
  <c r="F115" i="5"/>
  <c r="F95" i="5"/>
  <c r="F111" i="5"/>
  <c r="F107" i="5"/>
  <c r="F118" i="5"/>
  <c r="G109" i="5"/>
  <c r="F108" i="5"/>
  <c r="F120" i="5"/>
  <c r="F100" i="5"/>
  <c r="G108" i="5"/>
  <c r="G111" i="5"/>
  <c r="G105" i="5"/>
  <c r="G107" i="5"/>
  <c r="F112" i="5"/>
  <c r="F92" i="5"/>
  <c r="G112" i="5"/>
  <c r="F113" i="5"/>
  <c r="F93" i="5"/>
  <c r="G116" i="5"/>
  <c r="G106" i="5"/>
  <c r="G110" i="5"/>
  <c r="D57" i="15"/>
  <c r="D58" i="15"/>
  <c r="C58" i="15"/>
  <c r="D72" i="15"/>
  <c r="D67" i="15"/>
  <c r="D66" i="15"/>
  <c r="C72" i="15"/>
  <c r="C67" i="15"/>
  <c r="C66" i="15"/>
  <c r="G74" i="5" l="1"/>
  <c r="G114" i="5" s="1"/>
  <c r="F110" i="5"/>
  <c r="F74" i="5"/>
  <c r="E106" i="5"/>
  <c r="E111" i="5"/>
  <c r="E109" i="5"/>
  <c r="G79" i="5"/>
  <c r="G119" i="5" s="1"/>
  <c r="E115" i="5"/>
  <c r="E105" i="5"/>
  <c r="F79" i="5"/>
  <c r="F84" i="16"/>
  <c r="F104" i="16" s="1"/>
  <c r="G84" i="16"/>
  <c r="G104" i="16" s="1"/>
  <c r="F83" i="16"/>
  <c r="F103" i="16" s="1"/>
  <c r="G83" i="16"/>
  <c r="G103" i="16" s="1"/>
  <c r="F78" i="16"/>
  <c r="F98" i="16" s="1"/>
  <c r="G78" i="16"/>
  <c r="G98" i="16" s="1"/>
  <c r="F96" i="16"/>
  <c r="G96" i="16"/>
  <c r="F77" i="16"/>
  <c r="F97" i="16" s="1"/>
  <c r="G77" i="16"/>
  <c r="G97" i="16" s="1"/>
  <c r="H77" i="16"/>
  <c r="F26" i="16"/>
  <c r="G26" i="16"/>
  <c r="C26" i="16"/>
  <c r="D26" i="16"/>
  <c r="E26" i="16"/>
  <c r="C59" i="16"/>
  <c r="D59" i="16"/>
  <c r="E59" i="16"/>
  <c r="F59" i="16"/>
  <c r="G59" i="16"/>
  <c r="H59" i="16"/>
  <c r="B59" i="16"/>
  <c r="G81" i="16" l="1"/>
  <c r="G101" i="16" s="1"/>
  <c r="G100" i="16"/>
  <c r="F81" i="16"/>
  <c r="F101" i="16" s="1"/>
  <c r="F100" i="16"/>
  <c r="G79" i="16"/>
  <c r="G99" i="16" s="1"/>
  <c r="F79" i="16"/>
  <c r="F99" i="16" s="1"/>
  <c r="G94" i="5"/>
  <c r="G99" i="5"/>
  <c r="F114" i="5"/>
  <c r="F94" i="5"/>
  <c r="G81" i="5"/>
  <c r="G121" i="5" s="1"/>
  <c r="F119" i="5"/>
  <c r="F99" i="5"/>
  <c r="F81" i="5"/>
  <c r="G101" i="5" l="1"/>
  <c r="G82" i="5"/>
  <c r="G122" i="5" s="1"/>
  <c r="G104" i="5" s="1"/>
  <c r="F121" i="5"/>
  <c r="F101" i="5"/>
  <c r="F82" i="5"/>
  <c r="G102" i="5" l="1"/>
  <c r="G84" i="5" s="1"/>
  <c r="G64" i="5"/>
  <c r="F122" i="5"/>
  <c r="F104" i="5" s="1"/>
  <c r="F102" i="5"/>
  <c r="F84" i="5" s="1"/>
  <c r="F64" i="5"/>
  <c r="N5" i="2"/>
  <c r="N6" i="2" l="1"/>
  <c r="H60" i="16"/>
  <c r="H26" i="16" s="1"/>
  <c r="N7" i="2" l="1"/>
  <c r="O6" i="2"/>
  <c r="U3" i="2"/>
  <c r="U4" i="2"/>
  <c r="U5" i="2"/>
  <c r="U6" i="2"/>
  <c r="U7" i="2"/>
  <c r="U8" i="2"/>
  <c r="U9" i="2"/>
  <c r="U11" i="2"/>
  <c r="U12" i="2"/>
  <c r="U13" i="2"/>
  <c r="U14" i="2"/>
  <c r="U15" i="2"/>
  <c r="U18" i="2"/>
  <c r="U17" i="2"/>
  <c r="U21" i="2"/>
  <c r="U22" i="2"/>
  <c r="U24" i="2"/>
  <c r="U25" i="2"/>
  <c r="U26" i="2"/>
  <c r="U27" i="2"/>
  <c r="U28" i="2"/>
  <c r="U29" i="2"/>
  <c r="U31" i="2"/>
  <c r="U32" i="2"/>
  <c r="U33" i="2"/>
  <c r="U34" i="2"/>
  <c r="U35" i="2"/>
  <c r="J5" i="2" l="1"/>
  <c r="A45" i="3" l="1"/>
  <c r="A46" i="3"/>
  <c r="A47" i="3"/>
  <c r="A48" i="3"/>
  <c r="A49" i="3"/>
  <c r="A50" i="3"/>
  <c r="A51" i="3"/>
  <c r="A52" i="3"/>
  <c r="J50" i="10" l="1"/>
  <c r="I50" i="10"/>
  <c r="H85" i="10"/>
  <c r="H65" i="10"/>
  <c r="H50" i="10"/>
  <c r="H76" i="10"/>
  <c r="H31" i="8"/>
  <c r="H34" i="8" s="1"/>
  <c r="G5" i="8"/>
  <c r="G9" i="8" s="1"/>
  <c r="F5" i="8"/>
  <c r="F9" i="8" s="1"/>
  <c r="E5" i="8"/>
  <c r="E9" i="8" s="1"/>
  <c r="D5" i="8"/>
  <c r="D9" i="8" s="1"/>
  <c r="C5" i="8"/>
  <c r="C9" i="8" s="1"/>
  <c r="B5" i="8"/>
  <c r="B9" i="8" s="1"/>
  <c r="H35" i="8"/>
  <c r="H36" i="8" s="1"/>
  <c r="H87" i="16"/>
  <c r="H68" i="16"/>
  <c r="H67" i="16"/>
  <c r="H89" i="16" s="1"/>
  <c r="H50" i="16"/>
  <c r="H23" i="16"/>
  <c r="H78" i="16" s="1"/>
  <c r="G87" i="16"/>
  <c r="G107" i="16" s="1"/>
  <c r="G89" i="16"/>
  <c r="G109" i="16" s="1"/>
  <c r="G50" i="16"/>
  <c r="F87" i="16"/>
  <c r="F107" i="16" s="1"/>
  <c r="F89" i="16"/>
  <c r="F109" i="16" s="1"/>
  <c r="F50" i="16"/>
  <c r="AB12" i="6"/>
  <c r="K108" i="6"/>
  <c r="AB11" i="6"/>
  <c r="AB10" i="6"/>
  <c r="AB9" i="6"/>
  <c r="AB8" i="6"/>
  <c r="H83" i="6"/>
  <c r="H81" i="6"/>
  <c r="H82" i="6"/>
  <c r="H80" i="6"/>
  <c r="H73" i="6"/>
  <c r="G83" i="6"/>
  <c r="G81" i="6"/>
  <c r="G77" i="6"/>
  <c r="G72" i="6"/>
  <c r="G71" i="6"/>
  <c r="G60" i="6"/>
  <c r="G58" i="6"/>
  <c r="G82" i="6"/>
  <c r="G80" i="6"/>
  <c r="G26" i="6"/>
  <c r="G73" i="6" s="1"/>
  <c r="G11" i="6"/>
  <c r="G10" i="6"/>
  <c r="G8" i="6"/>
  <c r="D68" i="15"/>
  <c r="D78" i="15"/>
  <c r="D77" i="15"/>
  <c r="D79" i="15"/>
  <c r="C68" i="15"/>
  <c r="C57" i="15"/>
  <c r="C77" i="15"/>
  <c r="C78" i="15"/>
  <c r="C79" i="15"/>
  <c r="C8" i="8" l="1"/>
  <c r="C32" i="8" s="1"/>
  <c r="C33" i="8" s="1"/>
  <c r="G8" i="8"/>
  <c r="G32" i="8" s="1"/>
  <c r="G33" i="8" s="1"/>
  <c r="D8" i="8"/>
  <c r="D32" i="8" s="1"/>
  <c r="D33" i="8" s="1"/>
  <c r="E8" i="8"/>
  <c r="E32" i="8" s="1"/>
  <c r="E33" i="8" s="1"/>
  <c r="B8" i="8"/>
  <c r="F8" i="8"/>
  <c r="F32" i="8" s="1"/>
  <c r="F33" i="8" s="1"/>
  <c r="H87" i="10"/>
  <c r="H51" i="10"/>
  <c r="H84" i="10" s="1"/>
  <c r="H54" i="10"/>
  <c r="H86" i="10" s="1"/>
  <c r="I54" i="10"/>
  <c r="I86" i="10" s="1"/>
  <c r="I51" i="10"/>
  <c r="I84" i="10" s="1"/>
  <c r="J51" i="10"/>
  <c r="J84" i="10" s="1"/>
  <c r="J54" i="10"/>
  <c r="J86" i="10" s="1"/>
  <c r="H79" i="16"/>
  <c r="H54" i="16"/>
  <c r="H88" i="16" s="1"/>
  <c r="H51" i="16"/>
  <c r="H86" i="16" s="1"/>
  <c r="F51" i="16"/>
  <c r="F86" i="16" s="1"/>
  <c r="F106" i="16" s="1"/>
  <c r="F54" i="16"/>
  <c r="F88" i="16" s="1"/>
  <c r="F108" i="16" s="1"/>
  <c r="G54" i="16"/>
  <c r="G88" i="16" s="1"/>
  <c r="G108" i="16" s="1"/>
  <c r="G51" i="16"/>
  <c r="G86" i="16" s="1"/>
  <c r="G106" i="16" s="1"/>
  <c r="J129" i="6"/>
  <c r="I129" i="6"/>
  <c r="C76" i="15"/>
  <c r="J59" i="10"/>
  <c r="I59" i="10"/>
  <c r="H59" i="10"/>
  <c r="H77" i="10"/>
  <c r="H37" i="8"/>
  <c r="H39" i="8" s="1"/>
  <c r="H42" i="8" s="1"/>
  <c r="H139" i="16"/>
  <c r="G139" i="16"/>
  <c r="F139" i="16"/>
  <c r="G59" i="6"/>
  <c r="G84" i="6"/>
  <c r="H59" i="6"/>
  <c r="H84" i="6"/>
  <c r="H74" i="6"/>
  <c r="G74" i="6"/>
  <c r="D69" i="15"/>
  <c r="D76" i="15"/>
  <c r="C69" i="15"/>
  <c r="F59" i="10"/>
  <c r="E59" i="10"/>
  <c r="C59" i="10"/>
  <c r="B24" i="9"/>
  <c r="B36" i="9" s="1"/>
  <c r="G25" i="8"/>
  <c r="C25" i="8"/>
  <c r="D25" i="8"/>
  <c r="E25" i="8"/>
  <c r="F25" i="8"/>
  <c r="B25" i="8"/>
  <c r="C74" i="10"/>
  <c r="D74" i="10"/>
  <c r="E74" i="10"/>
  <c r="F74" i="10"/>
  <c r="G74" i="10"/>
  <c r="B74" i="10"/>
  <c r="B66" i="15"/>
  <c r="D71" i="6"/>
  <c r="E71" i="6"/>
  <c r="F71" i="6"/>
  <c r="C71" i="6"/>
  <c r="B71" i="6"/>
  <c r="C68" i="16"/>
  <c r="D68" i="16"/>
  <c r="E68" i="16"/>
  <c r="B61" i="16"/>
  <c r="B51" i="15"/>
  <c r="B58" i="15" s="1"/>
  <c r="Y8" i="5"/>
  <c r="B32" i="8" l="1"/>
  <c r="B33" i="8" s="1"/>
  <c r="B31" i="8"/>
  <c r="I88" i="10"/>
  <c r="J88" i="10"/>
  <c r="H40" i="8"/>
  <c r="G59" i="10"/>
  <c r="H88" i="10"/>
  <c r="B68" i="16"/>
  <c r="B26" i="16"/>
  <c r="H61" i="6"/>
  <c r="H62" i="6" s="1"/>
  <c r="H63" i="6" s="1"/>
  <c r="H90" i="16"/>
  <c r="F90" i="16"/>
  <c r="F110" i="16" s="1"/>
  <c r="G90" i="16"/>
  <c r="G110" i="16" s="1"/>
  <c r="D59" i="10"/>
  <c r="H49" i="8"/>
  <c r="G61" i="6"/>
  <c r="G62" i="6" s="1"/>
  <c r="G63" i="6" s="1"/>
  <c r="B59" i="10"/>
  <c r="H55" i="8" l="1"/>
  <c r="H129" i="6"/>
  <c r="D80" i="15"/>
  <c r="C80" i="15"/>
  <c r="G129" i="6"/>
  <c r="C60" i="6"/>
  <c r="D60" i="6"/>
  <c r="E60" i="6"/>
  <c r="F60" i="6"/>
  <c r="D51" i="6"/>
  <c r="B60" i="6"/>
  <c r="B58" i="6"/>
  <c r="D31" i="8" l="1"/>
  <c r="F31" i="8"/>
  <c r="G31" i="8"/>
  <c r="K59" i="8"/>
  <c r="A39" i="3" l="1"/>
  <c r="A33" i="3"/>
  <c r="A34" i="3"/>
  <c r="A35" i="3"/>
  <c r="A36" i="3"/>
  <c r="A37" i="3"/>
  <c r="A38" i="3"/>
  <c r="A32" i="3"/>
  <c r="G8" i="14" l="1"/>
  <c r="G16" i="14"/>
  <c r="G26" i="14" s="1"/>
  <c r="C16" i="14"/>
  <c r="C26" i="14" s="1"/>
  <c r="D16" i="14"/>
  <c r="D26" i="14" s="1"/>
  <c r="E16" i="14"/>
  <c r="E26" i="14" s="1"/>
  <c r="F16" i="14"/>
  <c r="F26" i="14" s="1"/>
  <c r="B16" i="14"/>
  <c r="E8" i="14"/>
  <c r="C8" i="14"/>
  <c r="D8" i="14"/>
  <c r="F8" i="14"/>
  <c r="B8" i="14"/>
  <c r="U3" i="14"/>
  <c r="U2" i="14"/>
  <c r="B33" i="9"/>
  <c r="B34" i="9" s="1"/>
  <c r="B4" i="9"/>
  <c r="B29" i="9" s="1"/>
  <c r="B31" i="9" l="1"/>
  <c r="B32" i="9" s="1"/>
  <c r="B35" i="9" s="1"/>
  <c r="B37" i="9" s="1"/>
  <c r="B40" i="9" s="1"/>
  <c r="B47" i="9" s="1"/>
  <c r="B30" i="9"/>
  <c r="B26" i="14"/>
  <c r="G85" i="10"/>
  <c r="F85" i="10"/>
  <c r="E85" i="10"/>
  <c r="G80" i="10"/>
  <c r="F80" i="10"/>
  <c r="E80" i="10"/>
  <c r="G75" i="10"/>
  <c r="F75" i="10"/>
  <c r="E75" i="10"/>
  <c r="G65" i="10"/>
  <c r="G87" i="10" s="1"/>
  <c r="F65" i="10"/>
  <c r="F87" i="10" s="1"/>
  <c r="E65" i="10"/>
  <c r="E87" i="10" s="1"/>
  <c r="G50" i="10"/>
  <c r="F50" i="10"/>
  <c r="E50" i="10"/>
  <c r="G22" i="10"/>
  <c r="G76" i="10" s="1"/>
  <c r="F22" i="10"/>
  <c r="F76" i="10" s="1"/>
  <c r="E22" i="10"/>
  <c r="E76" i="10" s="1"/>
  <c r="D85" i="10"/>
  <c r="C85" i="10"/>
  <c r="B85" i="10"/>
  <c r="D80" i="10"/>
  <c r="C80" i="10"/>
  <c r="B80" i="10"/>
  <c r="D75" i="10"/>
  <c r="C75" i="10"/>
  <c r="B75" i="10"/>
  <c r="D65" i="10"/>
  <c r="D87" i="10" s="1"/>
  <c r="C65" i="10"/>
  <c r="C87" i="10" s="1"/>
  <c r="B65" i="10"/>
  <c r="B87" i="10" s="1"/>
  <c r="D50" i="10"/>
  <c r="C50" i="10"/>
  <c r="B50" i="10"/>
  <c r="D22" i="10"/>
  <c r="D76" i="10" s="1"/>
  <c r="C22" i="10"/>
  <c r="C76" i="10" s="1"/>
  <c r="B22" i="10"/>
  <c r="B76" i="10" s="1"/>
  <c r="B35" i="8"/>
  <c r="B36" i="8" s="1"/>
  <c r="C35" i="8"/>
  <c r="D35" i="8"/>
  <c r="D36" i="8" s="1"/>
  <c r="E35" i="8"/>
  <c r="F35" i="8"/>
  <c r="F36" i="8" s="1"/>
  <c r="G35" i="8"/>
  <c r="D34" i="8"/>
  <c r="F34" i="8"/>
  <c r="G34" i="8"/>
  <c r="G37" i="8" s="1"/>
  <c r="G36" i="8"/>
  <c r="E36" i="8"/>
  <c r="C36" i="8"/>
  <c r="E31" i="8"/>
  <c r="B34" i="8"/>
  <c r="Y7" i="5"/>
  <c r="Y6" i="5"/>
  <c r="B38" i="9" l="1"/>
  <c r="B52" i="9"/>
  <c r="B51" i="10"/>
  <c r="B84" i="10" s="1"/>
  <c r="B54" i="10"/>
  <c r="B86" i="10" s="1"/>
  <c r="C51" i="10"/>
  <c r="C84" i="10" s="1"/>
  <c r="C54" i="10"/>
  <c r="C86" i="10" s="1"/>
  <c r="E54" i="10"/>
  <c r="E86" i="10" s="1"/>
  <c r="E51" i="10"/>
  <c r="E84" i="10" s="1"/>
  <c r="D51" i="10"/>
  <c r="D84" i="10" s="1"/>
  <c r="D54" i="10"/>
  <c r="F51" i="10"/>
  <c r="F84" i="10" s="1"/>
  <c r="F86" i="10"/>
  <c r="G51" i="10"/>
  <c r="G84" i="10" s="1"/>
  <c r="G86" i="10"/>
  <c r="C31" i="8"/>
  <c r="C34" i="8" s="1"/>
  <c r="C37" i="8" s="1"/>
  <c r="C39" i="8" s="1"/>
  <c r="B37" i="8"/>
  <c r="G39" i="8"/>
  <c r="G42" i="8" s="1"/>
  <c r="E34" i="8"/>
  <c r="E37" i="8" s="1"/>
  <c r="E39" i="8" s="1"/>
  <c r="E77" i="10"/>
  <c r="G77" i="10"/>
  <c r="F77" i="10"/>
  <c r="C77" i="10"/>
  <c r="B77" i="10"/>
  <c r="D77" i="10"/>
  <c r="E50" i="16"/>
  <c r="D50" i="16"/>
  <c r="C50" i="16"/>
  <c r="B50" i="16"/>
  <c r="B44" i="16"/>
  <c r="B23" i="16"/>
  <c r="B67" i="16"/>
  <c r="B89" i="16" s="1"/>
  <c r="B87" i="16"/>
  <c r="B79" i="16" l="1"/>
  <c r="B78" i="16"/>
  <c r="C40" i="8"/>
  <c r="C42" i="8"/>
  <c r="C49" i="8" s="1"/>
  <c r="C55" i="8" s="1"/>
  <c r="E42" i="8"/>
  <c r="E49" i="8" s="1"/>
  <c r="E55" i="8" s="1"/>
  <c r="C54" i="16"/>
  <c r="C88" i="16" s="1"/>
  <c r="C51" i="16"/>
  <c r="C86" i="16" s="1"/>
  <c r="D54" i="16"/>
  <c r="D88" i="16" s="1"/>
  <c r="D51" i="16"/>
  <c r="D86" i="16" s="1"/>
  <c r="E54" i="16"/>
  <c r="E88" i="16" s="1"/>
  <c r="E51" i="16"/>
  <c r="E86" i="16" s="1"/>
  <c r="B51" i="16"/>
  <c r="B86" i="16" s="1"/>
  <c r="B54" i="16"/>
  <c r="B88" i="16" s="1"/>
  <c r="F88" i="10"/>
  <c r="G88" i="10"/>
  <c r="E88" i="10"/>
  <c r="B88" i="10"/>
  <c r="D88" i="10"/>
  <c r="C88" i="10"/>
  <c r="G40" i="8"/>
  <c r="G49" i="8"/>
  <c r="G55" i="8" s="1"/>
  <c r="E40" i="8"/>
  <c r="B139" i="16"/>
  <c r="F37" i="8"/>
  <c r="F39" i="8" s="1"/>
  <c r="F42" i="8" s="1"/>
  <c r="B39" i="8"/>
  <c r="B42" i="8" s="1"/>
  <c r="D37" i="8"/>
  <c r="D39" i="8" s="1"/>
  <c r="E67" i="16"/>
  <c r="E89" i="16" s="1"/>
  <c r="D67" i="16"/>
  <c r="D89" i="16" s="1"/>
  <c r="C67" i="16"/>
  <c r="C89" i="16" s="1"/>
  <c r="D139" i="16"/>
  <c r="C139" i="16"/>
  <c r="E23" i="16"/>
  <c r="E78" i="16" s="1"/>
  <c r="E79" i="16" s="1"/>
  <c r="D23" i="16"/>
  <c r="D78" i="16" s="1"/>
  <c r="D79" i="16" s="1"/>
  <c r="C23" i="16"/>
  <c r="C78" i="16" s="1"/>
  <c r="C79" i="16" s="1"/>
  <c r="B79" i="15"/>
  <c r="B77" i="15"/>
  <c r="B72" i="15"/>
  <c r="B67" i="15"/>
  <c r="B57" i="15"/>
  <c r="B127" i="15"/>
  <c r="B20" i="15"/>
  <c r="B68" i="15" s="1"/>
  <c r="F11" i="6"/>
  <c r="E11" i="6"/>
  <c r="D11" i="6"/>
  <c r="C11" i="6"/>
  <c r="B11" i="6"/>
  <c r="F10" i="6"/>
  <c r="E10" i="6"/>
  <c r="D10" i="6"/>
  <c r="C10" i="6"/>
  <c r="B10" i="6"/>
  <c r="F8" i="6"/>
  <c r="E8" i="6"/>
  <c r="D8" i="6"/>
  <c r="C8" i="6"/>
  <c r="D40" i="8" l="1"/>
  <c r="D42" i="8"/>
  <c r="D49" i="8" s="1"/>
  <c r="D55" i="8" s="1"/>
  <c r="B90" i="16"/>
  <c r="B49" i="8"/>
  <c r="B55" i="8" s="1"/>
  <c r="B40" i="8"/>
  <c r="F40" i="8"/>
  <c r="F49" i="8"/>
  <c r="F55" i="8" s="1"/>
  <c r="E139" i="16"/>
  <c r="B69" i="15"/>
  <c r="D59" i="6"/>
  <c r="F59" i="6"/>
  <c r="C59" i="6"/>
  <c r="C61" i="6" s="1"/>
  <c r="C62" i="6" s="1"/>
  <c r="E59" i="6"/>
  <c r="B8" i="6"/>
  <c r="B59" i="6" s="1"/>
  <c r="L7" i="2"/>
  <c r="O7" i="2" s="1"/>
  <c r="L5" i="2"/>
  <c r="O5" i="2" s="1"/>
  <c r="L4" i="2"/>
  <c r="K4" i="2"/>
  <c r="F83" i="6"/>
  <c r="E83" i="6"/>
  <c r="D83" i="6"/>
  <c r="C83" i="6"/>
  <c r="B83" i="6"/>
  <c r="F81" i="6"/>
  <c r="E81" i="6"/>
  <c r="D81" i="6"/>
  <c r="C81" i="6"/>
  <c r="B81" i="6"/>
  <c r="F77" i="6"/>
  <c r="E77" i="6"/>
  <c r="D77" i="6"/>
  <c r="C77" i="6"/>
  <c r="B77" i="6"/>
  <c r="F72" i="6"/>
  <c r="E72" i="6"/>
  <c r="D72" i="6"/>
  <c r="C72" i="6"/>
  <c r="B72" i="6"/>
  <c r="F58" i="6"/>
  <c r="E58" i="6"/>
  <c r="D58" i="6"/>
  <c r="C58" i="6"/>
  <c r="F82" i="6"/>
  <c r="E82" i="6"/>
  <c r="D82" i="6"/>
  <c r="C82" i="6"/>
  <c r="B82" i="6"/>
  <c r="F80" i="6"/>
  <c r="E80" i="6"/>
  <c r="D80" i="6"/>
  <c r="C80" i="6"/>
  <c r="B80" i="6"/>
  <c r="F26" i="6"/>
  <c r="F73" i="6" s="1"/>
  <c r="E26" i="6"/>
  <c r="E73" i="6" s="1"/>
  <c r="D26" i="6"/>
  <c r="D73" i="6" s="1"/>
  <c r="C26" i="6"/>
  <c r="C73" i="6" s="1"/>
  <c r="B26" i="6"/>
  <c r="B73" i="6" s="1"/>
  <c r="AB7" i="6"/>
  <c r="AB6" i="6"/>
  <c r="AB5" i="6"/>
  <c r="AB4" i="6"/>
  <c r="AB3" i="6"/>
  <c r="E78" i="5"/>
  <c r="E76" i="5"/>
  <c r="E67" i="5"/>
  <c r="E107" i="5" s="1"/>
  <c r="Y5" i="5"/>
  <c r="Y4" i="5"/>
  <c r="Y3" i="5"/>
  <c r="Y2" i="5"/>
  <c r="D77" i="5"/>
  <c r="D75" i="5"/>
  <c r="C77" i="5"/>
  <c r="C75" i="5"/>
  <c r="D127" i="5"/>
  <c r="C127" i="5"/>
  <c r="C21" i="5"/>
  <c r="C67" i="5" s="1"/>
  <c r="C68" i="5" s="1"/>
  <c r="D21" i="5"/>
  <c r="D67" i="5" s="1"/>
  <c r="D68" i="5" s="1"/>
  <c r="B127" i="5"/>
  <c r="B21" i="5"/>
  <c r="B67" i="5" s="1"/>
  <c r="B68" i="5" s="1"/>
  <c r="Z2" i="5" l="1"/>
  <c r="Z3" i="5" s="1"/>
  <c r="B80" i="15"/>
  <c r="E96" i="5"/>
  <c r="E116" i="5"/>
  <c r="E118" i="5"/>
  <c r="E98" i="5"/>
  <c r="J6" i="2"/>
  <c r="O4" i="2"/>
  <c r="M4" i="2"/>
  <c r="M5" i="2"/>
  <c r="K6" i="2"/>
  <c r="E61" i="6"/>
  <c r="E62" i="6" s="1"/>
  <c r="F61" i="6"/>
  <c r="F62" i="6" s="1"/>
  <c r="C63" i="6"/>
  <c r="C129" i="6" s="1"/>
  <c r="C90" i="16"/>
  <c r="E90" i="16"/>
  <c r="D90" i="16"/>
  <c r="B61" i="6"/>
  <c r="B62" i="6" s="1"/>
  <c r="B63" i="6" s="1"/>
  <c r="B129" i="6" s="1"/>
  <c r="D61" i="6"/>
  <c r="D62" i="6" s="1"/>
  <c r="B74" i="6"/>
  <c r="D74" i="6"/>
  <c r="F74" i="6"/>
  <c r="C74" i="6"/>
  <c r="E74" i="6"/>
  <c r="E68" i="5"/>
  <c r="F2" i="2"/>
  <c r="G2" i="2"/>
  <c r="E2" i="2"/>
  <c r="D2" i="2"/>
  <c r="D11" i="13"/>
  <c r="D12" i="13"/>
  <c r="D13" i="13"/>
  <c r="D14" i="13"/>
  <c r="D15" i="13"/>
  <c r="D16" i="13"/>
  <c r="D17" i="13"/>
  <c r="D18" i="13"/>
  <c r="D19" i="13"/>
  <c r="D10" i="13"/>
  <c r="H67" i="10" l="1"/>
  <c r="H68" i="10" s="1"/>
  <c r="I67" i="10"/>
  <c r="I68" i="10" s="1"/>
  <c r="J67" i="10"/>
  <c r="J68" i="10" s="1"/>
  <c r="C39" i="9"/>
  <c r="I64" i="6"/>
  <c r="I65" i="6" s="1"/>
  <c r="J64" i="6"/>
  <c r="J65" i="6" s="1"/>
  <c r="I41" i="8"/>
  <c r="J41" i="8"/>
  <c r="H64" i="6"/>
  <c r="H65" i="6" s="1"/>
  <c r="H41" i="8"/>
  <c r="H43" i="8" s="1"/>
  <c r="B39" i="9"/>
  <c r="B41" i="9" s="1"/>
  <c r="B42" i="9" s="1"/>
  <c r="Z4" i="5"/>
  <c r="Z5" i="5" s="1"/>
  <c r="Z6" i="5" s="1"/>
  <c r="Z7" i="5" s="1"/>
  <c r="D63" i="6"/>
  <c r="D64" i="6" s="1"/>
  <c r="D65" i="6" s="1"/>
  <c r="E63" i="6"/>
  <c r="E129" i="6" s="1"/>
  <c r="F63" i="6"/>
  <c r="F129" i="6" s="1"/>
  <c r="B58" i="5"/>
  <c r="B59" i="5" s="1"/>
  <c r="C58" i="5"/>
  <c r="C59" i="5" s="1"/>
  <c r="D58" i="5"/>
  <c r="D59" i="5" s="1"/>
  <c r="D59" i="15"/>
  <c r="D60" i="15" s="1"/>
  <c r="D61" i="15" s="1"/>
  <c r="C59" i="15"/>
  <c r="C60" i="15" s="1"/>
  <c r="D79" i="5"/>
  <c r="B79" i="5"/>
  <c r="C79" i="5"/>
  <c r="E108" i="5"/>
  <c r="E88" i="5"/>
  <c r="D27" i="14"/>
  <c r="H69" i="16"/>
  <c r="H70" i="16" s="1"/>
  <c r="G64" i="6"/>
  <c r="G65" i="6" s="1"/>
  <c r="G41" i="8"/>
  <c r="J7" i="2"/>
  <c r="C49" i="3"/>
  <c r="E47" i="3"/>
  <c r="C50" i="3"/>
  <c r="E48" i="3"/>
  <c r="C51" i="3"/>
  <c r="C52" i="3"/>
  <c r="C46" i="3"/>
  <c r="E46" i="3"/>
  <c r="G52" i="3"/>
  <c r="G51" i="3"/>
  <c r="G27" i="14"/>
  <c r="F27" i="14"/>
  <c r="B27" i="14"/>
  <c r="C27" i="14"/>
  <c r="E27" i="14"/>
  <c r="F67" i="10"/>
  <c r="F68" i="10" s="1"/>
  <c r="F89" i="10" s="1"/>
  <c r="D67" i="10"/>
  <c r="D68" i="10" s="1"/>
  <c r="D89" i="10" s="1"/>
  <c r="G67" i="10"/>
  <c r="G68" i="10" s="1"/>
  <c r="G89" i="10" s="1"/>
  <c r="C67" i="10"/>
  <c r="C68" i="10" s="1"/>
  <c r="C89" i="10" s="1"/>
  <c r="B67" i="10"/>
  <c r="B68" i="10" s="1"/>
  <c r="B89" i="10" s="1"/>
  <c r="E67" i="10"/>
  <c r="E68" i="10" s="1"/>
  <c r="E89" i="10" s="1"/>
  <c r="B69" i="16"/>
  <c r="B70" i="16" s="1"/>
  <c r="B91" i="16" s="1"/>
  <c r="D69" i="16"/>
  <c r="D70" i="16" s="1"/>
  <c r="D91" i="16" s="1"/>
  <c r="C41" i="8"/>
  <c r="C69" i="16"/>
  <c r="C70" i="16" s="1"/>
  <c r="C91" i="16" s="1"/>
  <c r="E69" i="16"/>
  <c r="E70" i="16" s="1"/>
  <c r="E91" i="16" s="1"/>
  <c r="E41" i="8"/>
  <c r="D41" i="8"/>
  <c r="D43" i="8" s="1"/>
  <c r="D50" i="8" s="1"/>
  <c r="B59" i="15"/>
  <c r="B60" i="15" s="1"/>
  <c r="B81" i="15" s="1"/>
  <c r="C64" i="6"/>
  <c r="C65" i="6" s="1"/>
  <c r="C85" i="6" s="1"/>
  <c r="B41" i="8"/>
  <c r="F41" i="8"/>
  <c r="F43" i="8" s="1"/>
  <c r="F50" i="8" s="1"/>
  <c r="B64" i="6"/>
  <c r="B65" i="6" s="1"/>
  <c r="C84" i="6"/>
  <c r="F84" i="6"/>
  <c r="B84" i="6"/>
  <c r="E84" i="6"/>
  <c r="D84" i="6"/>
  <c r="G109" i="10" l="1"/>
  <c r="H34" i="3"/>
  <c r="H33" i="3"/>
  <c r="B43" i="9"/>
  <c r="H32" i="3"/>
  <c r="B57" i="9"/>
  <c r="H35" i="3"/>
  <c r="J69" i="10"/>
  <c r="J89" i="10"/>
  <c r="J85" i="6"/>
  <c r="J66" i="6"/>
  <c r="I69" i="10"/>
  <c r="I89" i="10"/>
  <c r="J43" i="8"/>
  <c r="C41" i="9"/>
  <c r="C42" i="9" s="1"/>
  <c r="C57" i="9" s="1"/>
  <c r="C46" i="9"/>
  <c r="I43" i="8"/>
  <c r="I48" i="8" s="1"/>
  <c r="C109" i="10"/>
  <c r="I66" i="6"/>
  <c r="I85" i="6"/>
  <c r="Z8" i="5"/>
  <c r="F64" i="6"/>
  <c r="F65" i="6" s="1"/>
  <c r="F66" i="6" s="1"/>
  <c r="F68" i="6" s="1"/>
  <c r="D129" i="6"/>
  <c r="I23" i="3"/>
  <c r="I48" i="3" s="1"/>
  <c r="I22" i="3"/>
  <c r="I47" i="3" s="1"/>
  <c r="E64" i="6"/>
  <c r="E65" i="6" s="1"/>
  <c r="E85" i="6" s="1"/>
  <c r="I21" i="3"/>
  <c r="I46" i="3" s="1"/>
  <c r="I51" i="3"/>
  <c r="I50" i="3"/>
  <c r="I20" i="3"/>
  <c r="I45" i="3" s="1"/>
  <c r="I52" i="3"/>
  <c r="I49" i="3"/>
  <c r="D80" i="5"/>
  <c r="D60" i="5"/>
  <c r="D69" i="5" s="1"/>
  <c r="D86" i="15"/>
  <c r="D62" i="15"/>
  <c r="D92" i="15"/>
  <c r="D63" i="15"/>
  <c r="D99" i="15"/>
  <c r="D126" i="15"/>
  <c r="D87" i="15"/>
  <c r="D97" i="15"/>
  <c r="D98" i="15"/>
  <c r="D88" i="15"/>
  <c r="D96" i="15"/>
  <c r="D89" i="15"/>
  <c r="D100" i="15"/>
  <c r="C80" i="5"/>
  <c r="C60" i="5"/>
  <c r="C99" i="5" s="1"/>
  <c r="C61" i="15"/>
  <c r="C81" i="15"/>
  <c r="B60" i="5"/>
  <c r="B99" i="5" s="1"/>
  <c r="B80" i="5"/>
  <c r="G66" i="6"/>
  <c r="G85" i="6"/>
  <c r="H66" i="6"/>
  <c r="H85" i="6"/>
  <c r="H48" i="8"/>
  <c r="H50" i="8"/>
  <c r="H44" i="8"/>
  <c r="G91" i="16"/>
  <c r="G111" i="16" s="1"/>
  <c r="D81" i="15"/>
  <c r="H91" i="16"/>
  <c r="H71" i="16"/>
  <c r="H80" i="16" s="1"/>
  <c r="H69" i="10"/>
  <c r="H89" i="10"/>
  <c r="F91" i="16"/>
  <c r="F111" i="16" s="1"/>
  <c r="C66" i="6"/>
  <c r="C68" i="6" s="1"/>
  <c r="D66" i="6"/>
  <c r="D68" i="6" s="1"/>
  <c r="D85" i="6"/>
  <c r="B66" i="6"/>
  <c r="B85" i="6"/>
  <c r="E80" i="5"/>
  <c r="F48" i="8"/>
  <c r="F54" i="8" s="1"/>
  <c r="D44" i="8"/>
  <c r="D48" i="8"/>
  <c r="D54" i="8" s="1"/>
  <c r="F56" i="8"/>
  <c r="D56" i="8"/>
  <c r="F44" i="8"/>
  <c r="B43" i="8"/>
  <c r="B48" i="8" s="1"/>
  <c r="B61" i="15"/>
  <c r="B126" i="15" s="1"/>
  <c r="E43" i="8"/>
  <c r="E48" i="8" s="1"/>
  <c r="E71" i="16"/>
  <c r="E80" i="16" s="1"/>
  <c r="C43" i="8"/>
  <c r="C48" i="8" s="1"/>
  <c r="B71" i="16"/>
  <c r="B80" i="16" s="1"/>
  <c r="E69" i="10"/>
  <c r="E109" i="10" s="1"/>
  <c r="C69" i="10"/>
  <c r="D69" i="10"/>
  <c r="D109" i="10" s="1"/>
  <c r="G43" i="8"/>
  <c r="C71" i="16"/>
  <c r="C80" i="16" s="1"/>
  <c r="D71" i="16"/>
  <c r="B69" i="10"/>
  <c r="G69" i="10"/>
  <c r="F69" i="10"/>
  <c r="F109" i="10" s="1"/>
  <c r="E79" i="5"/>
  <c r="E66" i="6" l="1"/>
  <c r="E68" i="6" s="1"/>
  <c r="B107" i="10"/>
  <c r="B105" i="10"/>
  <c r="B97" i="10"/>
  <c r="B95" i="10"/>
  <c r="B106" i="10"/>
  <c r="B108" i="10"/>
  <c r="B104" i="10"/>
  <c r="B100" i="10"/>
  <c r="B96" i="10"/>
  <c r="B94" i="10"/>
  <c r="J44" i="8"/>
  <c r="J50" i="8"/>
  <c r="J104" i="6"/>
  <c r="B109" i="10"/>
  <c r="D111" i="16"/>
  <c r="D80" i="16"/>
  <c r="E108" i="10"/>
  <c r="E106" i="10"/>
  <c r="E104" i="10"/>
  <c r="E100" i="10"/>
  <c r="E96" i="10"/>
  <c r="E94" i="10"/>
  <c r="E107" i="10"/>
  <c r="E105" i="10"/>
  <c r="E97" i="10"/>
  <c r="E95" i="10"/>
  <c r="I67" i="6"/>
  <c r="I101" i="6"/>
  <c r="I92" i="6"/>
  <c r="I68" i="6"/>
  <c r="I100" i="6"/>
  <c r="I128" i="6"/>
  <c r="I78" i="6"/>
  <c r="I90" i="6"/>
  <c r="I96" i="6"/>
  <c r="I103" i="6"/>
  <c r="I91" i="6"/>
  <c r="I102" i="6"/>
  <c r="I99" i="6"/>
  <c r="I93" i="6"/>
  <c r="I75" i="6"/>
  <c r="I44" i="8"/>
  <c r="I50" i="8"/>
  <c r="I51" i="8" s="1"/>
  <c r="I81" i="10"/>
  <c r="I97" i="10"/>
  <c r="I96" i="10"/>
  <c r="I78" i="10"/>
  <c r="I105" i="10"/>
  <c r="I70" i="10"/>
  <c r="I107" i="10"/>
  <c r="I94" i="10"/>
  <c r="I71" i="10"/>
  <c r="I95" i="10"/>
  <c r="I100" i="10"/>
  <c r="I82" i="10"/>
  <c r="I104" i="10"/>
  <c r="I106" i="10"/>
  <c r="I108" i="10"/>
  <c r="J107" i="10"/>
  <c r="J105" i="10"/>
  <c r="J97" i="10"/>
  <c r="J81" i="10"/>
  <c r="J78" i="10"/>
  <c r="J96" i="10"/>
  <c r="J95" i="10"/>
  <c r="J70" i="10"/>
  <c r="J100" i="10"/>
  <c r="J71" i="10"/>
  <c r="J129" i="10" s="1"/>
  <c r="J94" i="10"/>
  <c r="J104" i="10"/>
  <c r="J106" i="10"/>
  <c r="J108" i="10"/>
  <c r="D108" i="10"/>
  <c r="D106" i="10"/>
  <c r="D104" i="10"/>
  <c r="D100" i="10"/>
  <c r="D96" i="10"/>
  <c r="D94" i="10"/>
  <c r="D105" i="10"/>
  <c r="D107" i="10"/>
  <c r="D95" i="10"/>
  <c r="D97" i="10"/>
  <c r="C107" i="10"/>
  <c r="C105" i="10"/>
  <c r="C97" i="10"/>
  <c r="C95" i="10"/>
  <c r="C94" i="10"/>
  <c r="C108" i="10"/>
  <c r="C104" i="10"/>
  <c r="C106" i="10"/>
  <c r="C96" i="10"/>
  <c r="C100" i="10"/>
  <c r="I104" i="6"/>
  <c r="I54" i="8"/>
  <c r="C51" i="9"/>
  <c r="C48" i="9"/>
  <c r="C56" i="9"/>
  <c r="I109" i="10"/>
  <c r="I129" i="10"/>
  <c r="J109" i="10"/>
  <c r="F107" i="10"/>
  <c r="F105" i="10"/>
  <c r="F97" i="10"/>
  <c r="F95" i="10"/>
  <c r="F104" i="10"/>
  <c r="F100" i="10"/>
  <c r="F108" i="10"/>
  <c r="F106" i="10"/>
  <c r="F94" i="10"/>
  <c r="F96" i="10"/>
  <c r="G107" i="10"/>
  <c r="G105" i="10"/>
  <c r="G97" i="10"/>
  <c r="G95" i="10"/>
  <c r="G100" i="10"/>
  <c r="G96" i="10"/>
  <c r="G108" i="10"/>
  <c r="G104" i="10"/>
  <c r="G94" i="10"/>
  <c r="G106" i="10"/>
  <c r="J48" i="8"/>
  <c r="J96" i="6"/>
  <c r="J91" i="6"/>
  <c r="J78" i="6"/>
  <c r="J90" i="6"/>
  <c r="J101" i="6"/>
  <c r="J67" i="6"/>
  <c r="J68" i="6"/>
  <c r="J100" i="6"/>
  <c r="J99" i="6"/>
  <c r="J93" i="6"/>
  <c r="J102" i="6"/>
  <c r="J103" i="6"/>
  <c r="J92" i="6"/>
  <c r="J128" i="6"/>
  <c r="J75" i="6"/>
  <c r="F85" i="6"/>
  <c r="F123" i="6" s="1"/>
  <c r="C83" i="16"/>
  <c r="C103" i="16" s="1"/>
  <c r="C96" i="16"/>
  <c r="C97" i="16"/>
  <c r="C98" i="16"/>
  <c r="C102" i="16"/>
  <c r="C107" i="16"/>
  <c r="C109" i="16"/>
  <c r="C108" i="16"/>
  <c r="C106" i="16"/>
  <c r="C99" i="16"/>
  <c r="C110" i="16"/>
  <c r="H61" i="8"/>
  <c r="H45" i="8"/>
  <c r="D83" i="16"/>
  <c r="D103" i="16" s="1"/>
  <c r="D97" i="16"/>
  <c r="D98" i="16"/>
  <c r="D96" i="16"/>
  <c r="D102" i="16"/>
  <c r="D107" i="16"/>
  <c r="D109" i="16"/>
  <c r="D99" i="16"/>
  <c r="D108" i="16"/>
  <c r="D106" i="16"/>
  <c r="D110" i="16"/>
  <c r="E83" i="16"/>
  <c r="E103" i="16" s="1"/>
  <c r="E96" i="16"/>
  <c r="E98" i="16"/>
  <c r="E109" i="16"/>
  <c r="E97" i="16"/>
  <c r="E102" i="16"/>
  <c r="E107" i="16"/>
  <c r="E106" i="16"/>
  <c r="E99" i="16"/>
  <c r="E108" i="16"/>
  <c r="E110" i="16"/>
  <c r="E111" i="16"/>
  <c r="B83" i="16"/>
  <c r="B103" i="16" s="1"/>
  <c r="B96" i="16"/>
  <c r="B97" i="16"/>
  <c r="B98" i="16"/>
  <c r="B102" i="16"/>
  <c r="B109" i="16"/>
  <c r="B107" i="16"/>
  <c r="B99" i="16"/>
  <c r="B106" i="16"/>
  <c r="B108" i="16"/>
  <c r="B110" i="16"/>
  <c r="C111" i="16"/>
  <c r="B111" i="16"/>
  <c r="D62" i="8"/>
  <c r="D45" i="8"/>
  <c r="F34" i="3"/>
  <c r="F45" i="8"/>
  <c r="F32" i="3"/>
  <c r="H109" i="10"/>
  <c r="H95" i="10"/>
  <c r="H94" i="10"/>
  <c r="H100" i="10"/>
  <c r="H105" i="10"/>
  <c r="H96" i="10"/>
  <c r="H107" i="10"/>
  <c r="H106" i="10"/>
  <c r="H97" i="10"/>
  <c r="H104" i="10"/>
  <c r="H108" i="10"/>
  <c r="B71" i="10"/>
  <c r="H54" i="8"/>
  <c r="H60" i="8"/>
  <c r="H62" i="8"/>
  <c r="H56" i="8"/>
  <c r="H81" i="10"/>
  <c r="H70" i="10"/>
  <c r="H102" i="16"/>
  <c r="H97" i="16"/>
  <c r="H96" i="16"/>
  <c r="H98" i="16"/>
  <c r="H107" i="16"/>
  <c r="H109" i="16"/>
  <c r="H106" i="16"/>
  <c r="H99" i="16"/>
  <c r="H108" i="16"/>
  <c r="H110" i="16"/>
  <c r="H111" i="16"/>
  <c r="H104" i="6"/>
  <c r="H128" i="6"/>
  <c r="H102" i="6"/>
  <c r="H101" i="6"/>
  <c r="H103" i="6"/>
  <c r="H90" i="6"/>
  <c r="H91" i="6"/>
  <c r="H96" i="6"/>
  <c r="H100" i="6"/>
  <c r="H92" i="6"/>
  <c r="H99" i="6"/>
  <c r="H93" i="6"/>
  <c r="H78" i="6"/>
  <c r="H67" i="6"/>
  <c r="D88" i="5"/>
  <c r="D85" i="5"/>
  <c r="D86" i="5"/>
  <c r="D99" i="5"/>
  <c r="D73" i="5"/>
  <c r="D93" i="5" s="1"/>
  <c r="D91" i="5"/>
  <c r="D95" i="5"/>
  <c r="D98" i="5"/>
  <c r="D126" i="5"/>
  <c r="D96" i="5"/>
  <c r="D72" i="5"/>
  <c r="D87" i="5"/>
  <c r="C100" i="5"/>
  <c r="D125" i="5"/>
  <c r="D97" i="5"/>
  <c r="D100" i="5"/>
  <c r="D61" i="5"/>
  <c r="D62" i="5"/>
  <c r="C86" i="15"/>
  <c r="C63" i="15"/>
  <c r="C121" i="15" s="1"/>
  <c r="C92" i="15"/>
  <c r="C87" i="15"/>
  <c r="C62" i="15"/>
  <c r="C126" i="15"/>
  <c r="C99" i="15"/>
  <c r="C70" i="15"/>
  <c r="C97" i="15"/>
  <c r="C88" i="15"/>
  <c r="C98" i="15"/>
  <c r="C89" i="15"/>
  <c r="C96" i="15"/>
  <c r="C100" i="15"/>
  <c r="B100" i="5"/>
  <c r="C87" i="5"/>
  <c r="C85" i="5"/>
  <c r="C86" i="5"/>
  <c r="C88" i="5"/>
  <c r="C98" i="5"/>
  <c r="C69" i="5"/>
  <c r="C62" i="5"/>
  <c r="C106" i="5" s="1"/>
  <c r="C72" i="5"/>
  <c r="C92" i="5" s="1"/>
  <c r="C91" i="5"/>
  <c r="C96" i="5"/>
  <c r="C73" i="5"/>
  <c r="C93" i="5" s="1"/>
  <c r="C61" i="5"/>
  <c r="C97" i="5"/>
  <c r="C95" i="5"/>
  <c r="D107" i="15"/>
  <c r="D106" i="15"/>
  <c r="D112" i="15"/>
  <c r="D119" i="15"/>
  <c r="D108" i="15"/>
  <c r="D118" i="15"/>
  <c r="D117" i="15"/>
  <c r="D116" i="15"/>
  <c r="D109" i="15"/>
  <c r="D120" i="15"/>
  <c r="B73" i="5"/>
  <c r="B93" i="5" s="1"/>
  <c r="B86" i="5"/>
  <c r="B98" i="5"/>
  <c r="B87" i="5"/>
  <c r="B88" i="5"/>
  <c r="B61" i="5"/>
  <c r="B62" i="5"/>
  <c r="B96" i="5"/>
  <c r="B72" i="5"/>
  <c r="B92" i="5" s="1"/>
  <c r="B85" i="5"/>
  <c r="B69" i="5"/>
  <c r="B91" i="5"/>
  <c r="B95" i="5"/>
  <c r="B97" i="5"/>
  <c r="C101" i="15"/>
  <c r="D89" i="5"/>
  <c r="D70" i="5"/>
  <c r="D90" i="5" s="1"/>
  <c r="E120" i="5"/>
  <c r="E100" i="5"/>
  <c r="E99" i="5"/>
  <c r="E119" i="5"/>
  <c r="D101" i="15"/>
  <c r="D121" i="15"/>
  <c r="C73" i="15"/>
  <c r="D73" i="15"/>
  <c r="B73" i="15"/>
  <c r="B93" i="15" s="1"/>
  <c r="H72" i="16"/>
  <c r="H83" i="16"/>
  <c r="H103" i="16" s="1"/>
  <c r="C128" i="6"/>
  <c r="C102" i="6"/>
  <c r="C92" i="6"/>
  <c r="C104" i="6"/>
  <c r="F137" i="16"/>
  <c r="F136" i="16"/>
  <c r="H136" i="16"/>
  <c r="H73" i="16"/>
  <c r="H137" i="16"/>
  <c r="H51" i="8"/>
  <c r="G104" i="6"/>
  <c r="H78" i="10"/>
  <c r="H71" i="10"/>
  <c r="D70" i="15"/>
  <c r="G136" i="16"/>
  <c r="G137" i="16"/>
  <c r="H75" i="6"/>
  <c r="H68" i="6"/>
  <c r="G96" i="6"/>
  <c r="G128" i="6"/>
  <c r="G75" i="6"/>
  <c r="G100" i="6"/>
  <c r="G90" i="6"/>
  <c r="G67" i="6"/>
  <c r="G92" i="6"/>
  <c r="G101" i="6"/>
  <c r="G102" i="6"/>
  <c r="G93" i="6"/>
  <c r="G103" i="6"/>
  <c r="G78" i="6"/>
  <c r="G99" i="6"/>
  <c r="G91" i="6"/>
  <c r="G68" i="6"/>
  <c r="E104" i="6"/>
  <c r="E99" i="6"/>
  <c r="D72" i="16"/>
  <c r="B72" i="16"/>
  <c r="C72" i="16"/>
  <c r="E72" i="16"/>
  <c r="B126" i="5"/>
  <c r="D61" i="8"/>
  <c r="E72" i="5"/>
  <c r="C123" i="6"/>
  <c r="F109" i="6"/>
  <c r="D120" i="6"/>
  <c r="G48" i="8"/>
  <c r="G54" i="8" s="1"/>
  <c r="G44" i="8"/>
  <c r="F39" i="3" s="1"/>
  <c r="C103" i="6"/>
  <c r="C96" i="6"/>
  <c r="C90" i="6"/>
  <c r="C99" i="6"/>
  <c r="C91" i="6"/>
  <c r="C101" i="6"/>
  <c r="C75" i="6"/>
  <c r="C94" i="6" s="1"/>
  <c r="C67" i="6"/>
  <c r="C93" i="6"/>
  <c r="C100" i="6"/>
  <c r="C78" i="6"/>
  <c r="C97" i="6" s="1"/>
  <c r="E96" i="6"/>
  <c r="B96" i="6"/>
  <c r="B78" i="6"/>
  <c r="B97" i="6" s="1"/>
  <c r="E90" i="6"/>
  <c r="E101" i="6"/>
  <c r="E78" i="6"/>
  <c r="E116" i="6" s="1"/>
  <c r="E75" i="6"/>
  <c r="E113" i="6" s="1"/>
  <c r="E103" i="6"/>
  <c r="E100" i="6"/>
  <c r="F102" i="6"/>
  <c r="E102" i="6"/>
  <c r="E67" i="6"/>
  <c r="F91" i="6"/>
  <c r="F67" i="6"/>
  <c r="E91" i="6"/>
  <c r="E128" i="6"/>
  <c r="E93" i="6"/>
  <c r="E92" i="6"/>
  <c r="B125" i="5"/>
  <c r="B101" i="15"/>
  <c r="B63" i="15"/>
  <c r="F61" i="8"/>
  <c r="D103" i="6"/>
  <c r="D99" i="6"/>
  <c r="F99" i="6"/>
  <c r="C118" i="6"/>
  <c r="F103" i="6"/>
  <c r="D91" i="6"/>
  <c r="D102" i="6"/>
  <c r="D100" i="6"/>
  <c r="D93" i="6"/>
  <c r="D128" i="6"/>
  <c r="F101" i="6"/>
  <c r="F100" i="6"/>
  <c r="D123" i="6"/>
  <c r="E123" i="6"/>
  <c r="D101" i="6"/>
  <c r="F96" i="6"/>
  <c r="F128" i="6"/>
  <c r="D90" i="6"/>
  <c r="B104" i="6"/>
  <c r="D104" i="6"/>
  <c r="D96" i="6"/>
  <c r="D75" i="6"/>
  <c r="D76" i="6" s="1"/>
  <c r="D95" i="6" s="1"/>
  <c r="F90" i="6"/>
  <c r="F93" i="6"/>
  <c r="D78" i="6"/>
  <c r="D97" i="6" s="1"/>
  <c r="F75" i="6"/>
  <c r="F76" i="6" s="1"/>
  <c r="F95" i="6" s="1"/>
  <c r="D67" i="6"/>
  <c r="F78" i="6"/>
  <c r="F97" i="6" s="1"/>
  <c r="F92" i="6"/>
  <c r="D92" i="6"/>
  <c r="E73" i="5"/>
  <c r="E86" i="5"/>
  <c r="E70" i="5"/>
  <c r="E85" i="5"/>
  <c r="E87" i="5"/>
  <c r="C125" i="5"/>
  <c r="B90" i="6"/>
  <c r="B67" i="6"/>
  <c r="B68" i="6"/>
  <c r="B123" i="6" s="1"/>
  <c r="D111" i="6"/>
  <c r="C111" i="6"/>
  <c r="C126" i="5"/>
  <c r="D51" i="8"/>
  <c r="D57" i="8" s="1"/>
  <c r="D53" i="8" s="1"/>
  <c r="F60" i="8"/>
  <c r="F51" i="8"/>
  <c r="F57" i="8" s="1"/>
  <c r="F53" i="8" s="1"/>
  <c r="D60" i="8"/>
  <c r="C54" i="8"/>
  <c r="B54" i="8"/>
  <c r="E54" i="8"/>
  <c r="B81" i="10"/>
  <c r="B70" i="10"/>
  <c r="B78" i="10"/>
  <c r="G50" i="8"/>
  <c r="D70" i="10"/>
  <c r="D78" i="10"/>
  <c r="D81" i="10"/>
  <c r="D71" i="10"/>
  <c r="C78" i="10"/>
  <c r="C71" i="10"/>
  <c r="C70" i="10"/>
  <c r="C81" i="10"/>
  <c r="E71" i="10"/>
  <c r="E81" i="10"/>
  <c r="E70" i="10"/>
  <c r="E78" i="10"/>
  <c r="F62" i="8"/>
  <c r="F71" i="10"/>
  <c r="F70" i="10"/>
  <c r="F81" i="10"/>
  <c r="F78" i="10"/>
  <c r="F82" i="10"/>
  <c r="G71" i="10"/>
  <c r="G81" i="10"/>
  <c r="G70" i="10"/>
  <c r="G78" i="10"/>
  <c r="D73" i="16"/>
  <c r="D136" i="16"/>
  <c r="D137" i="16"/>
  <c r="C73" i="16"/>
  <c r="C136" i="16"/>
  <c r="C137" i="16"/>
  <c r="B73" i="16"/>
  <c r="B137" i="16"/>
  <c r="B136" i="16"/>
  <c r="C50" i="8"/>
  <c r="C44" i="8"/>
  <c r="E137" i="16"/>
  <c r="E136" i="16"/>
  <c r="E73" i="16"/>
  <c r="E84" i="16" s="1"/>
  <c r="E104" i="16" s="1"/>
  <c r="E50" i="8"/>
  <c r="E51" i="8" s="1"/>
  <c r="E44" i="8"/>
  <c r="B88" i="15"/>
  <c r="B98" i="15"/>
  <c r="B92" i="15"/>
  <c r="B96" i="15"/>
  <c r="B97" i="15"/>
  <c r="B89" i="15"/>
  <c r="B100" i="15"/>
  <c r="B62" i="15"/>
  <c r="B70" i="15"/>
  <c r="B99" i="15"/>
  <c r="B86" i="15"/>
  <c r="B87" i="15"/>
  <c r="B44" i="8"/>
  <c r="B50" i="8"/>
  <c r="E118" i="6"/>
  <c r="B103" i="6"/>
  <c r="E115" i="6"/>
  <c r="C109" i="6"/>
  <c r="C112" i="6"/>
  <c r="E121" i="6"/>
  <c r="E109" i="6"/>
  <c r="C115" i="6"/>
  <c r="C120" i="6"/>
  <c r="B93" i="6"/>
  <c r="B128" i="6"/>
  <c r="B100" i="6"/>
  <c r="B99" i="6"/>
  <c r="C122" i="6"/>
  <c r="C119" i="6"/>
  <c r="C110" i="6"/>
  <c r="C121" i="6"/>
  <c r="B92" i="6"/>
  <c r="B75" i="6"/>
  <c r="F112" i="6"/>
  <c r="E122" i="6"/>
  <c r="E119" i="6"/>
  <c r="E110" i="6"/>
  <c r="E120" i="6"/>
  <c r="E111" i="6"/>
  <c r="F122" i="6"/>
  <c r="F111" i="6"/>
  <c r="F120" i="6"/>
  <c r="D109" i="6"/>
  <c r="D115" i="6"/>
  <c r="D119" i="6"/>
  <c r="E112" i="6"/>
  <c r="F115" i="6"/>
  <c r="F119" i="6"/>
  <c r="B91" i="6"/>
  <c r="B102" i="6"/>
  <c r="B101" i="6"/>
  <c r="D112" i="6"/>
  <c r="D122" i="6"/>
  <c r="D118" i="6"/>
  <c r="D110" i="6"/>
  <c r="D121" i="6"/>
  <c r="F121" i="6"/>
  <c r="F110" i="6"/>
  <c r="F118" i="6"/>
  <c r="I63" i="8" l="1"/>
  <c r="I59" i="8" s="1"/>
  <c r="I57" i="8"/>
  <c r="I53" i="8" s="1"/>
  <c r="I47" i="8"/>
  <c r="E114" i="10"/>
  <c r="E116" i="10"/>
  <c r="E120" i="10"/>
  <c r="E124" i="10"/>
  <c r="E126" i="10"/>
  <c r="E128" i="10"/>
  <c r="E127" i="10"/>
  <c r="E117" i="10"/>
  <c r="E125" i="10"/>
  <c r="E115" i="10"/>
  <c r="E129" i="10"/>
  <c r="B121" i="10"/>
  <c r="B101" i="10"/>
  <c r="J118" i="10"/>
  <c r="J79" i="10"/>
  <c r="J98" i="10"/>
  <c r="I79" i="10"/>
  <c r="I83" i="10" s="1"/>
  <c r="I98" i="10"/>
  <c r="I118" i="10"/>
  <c r="G121" i="10"/>
  <c r="G101" i="10"/>
  <c r="E118" i="10"/>
  <c r="E98" i="10"/>
  <c r="G33" i="3"/>
  <c r="D114" i="10"/>
  <c r="D116" i="10"/>
  <c r="D120" i="10"/>
  <c r="D124" i="10"/>
  <c r="D126" i="10"/>
  <c r="D128" i="10"/>
  <c r="D127" i="10"/>
  <c r="D115" i="10"/>
  <c r="D117" i="10"/>
  <c r="D125" i="10"/>
  <c r="D129" i="10"/>
  <c r="J101" i="10"/>
  <c r="J121" i="10"/>
  <c r="I45" i="8"/>
  <c r="I61" i="8"/>
  <c r="I112" i="6"/>
  <c r="I109" i="6"/>
  <c r="I120" i="6"/>
  <c r="I119" i="6"/>
  <c r="I122" i="6"/>
  <c r="I118" i="6"/>
  <c r="I111" i="6"/>
  <c r="I115" i="6"/>
  <c r="I110" i="6"/>
  <c r="I121" i="6"/>
  <c r="J56" i="8"/>
  <c r="J62" i="8"/>
  <c r="G115" i="10"/>
  <c r="G117" i="10"/>
  <c r="G125" i="10"/>
  <c r="G127" i="10"/>
  <c r="G114" i="10"/>
  <c r="G120" i="10"/>
  <c r="G128" i="10"/>
  <c r="G126" i="10"/>
  <c r="G116" i="10"/>
  <c r="G124" i="10"/>
  <c r="G129" i="10"/>
  <c r="D101" i="10"/>
  <c r="D121" i="10"/>
  <c r="B118" i="10"/>
  <c r="B98" i="10"/>
  <c r="B115" i="10"/>
  <c r="B117" i="10"/>
  <c r="B125" i="10"/>
  <c r="B127" i="10"/>
  <c r="B120" i="10"/>
  <c r="B126" i="10"/>
  <c r="B114" i="10"/>
  <c r="B116" i="10"/>
  <c r="B124" i="10"/>
  <c r="B128" i="10"/>
  <c r="B129" i="10"/>
  <c r="J113" i="6"/>
  <c r="J94" i="6"/>
  <c r="J76" i="6"/>
  <c r="J79" i="6"/>
  <c r="J115" i="6"/>
  <c r="J112" i="6"/>
  <c r="J109" i="6"/>
  <c r="J122" i="6"/>
  <c r="J119" i="6"/>
  <c r="J110" i="6"/>
  <c r="J118" i="6"/>
  <c r="J111" i="6"/>
  <c r="J120" i="6"/>
  <c r="J121" i="6"/>
  <c r="J116" i="6"/>
  <c r="J97" i="6"/>
  <c r="I123" i="6"/>
  <c r="I113" i="6"/>
  <c r="I94" i="6"/>
  <c r="I76" i="6"/>
  <c r="I116" i="6"/>
  <c r="I97" i="6"/>
  <c r="J45" i="8"/>
  <c r="J61" i="8"/>
  <c r="F118" i="10"/>
  <c r="F98" i="10"/>
  <c r="C98" i="10"/>
  <c r="C118" i="10"/>
  <c r="I102" i="10"/>
  <c r="I122" i="10"/>
  <c r="I56" i="8"/>
  <c r="I62" i="8"/>
  <c r="F121" i="10"/>
  <c r="F101" i="10"/>
  <c r="C121" i="10"/>
  <c r="C101" i="10"/>
  <c r="J60" i="8"/>
  <c r="J54" i="8"/>
  <c r="J51" i="8"/>
  <c r="G118" i="10"/>
  <c r="G98" i="10"/>
  <c r="F122" i="10"/>
  <c r="F102" i="10"/>
  <c r="F115" i="10"/>
  <c r="F117" i="10"/>
  <c r="F125" i="10"/>
  <c r="F127" i="10"/>
  <c r="F124" i="10"/>
  <c r="F128" i="10"/>
  <c r="F114" i="10"/>
  <c r="F116" i="10"/>
  <c r="F120" i="10"/>
  <c r="F126" i="10"/>
  <c r="F129" i="10"/>
  <c r="E121" i="10"/>
  <c r="E101" i="10"/>
  <c r="C115" i="10"/>
  <c r="C117" i="10"/>
  <c r="C125" i="10"/>
  <c r="C127" i="10"/>
  <c r="C120" i="10"/>
  <c r="C128" i="10"/>
  <c r="C126" i="10"/>
  <c r="C116" i="10"/>
  <c r="C124" i="10"/>
  <c r="C114" i="10"/>
  <c r="C129" i="10"/>
  <c r="D118" i="10"/>
  <c r="D98" i="10"/>
  <c r="C58" i="9"/>
  <c r="C55" i="9" s="1"/>
  <c r="C53" i="9"/>
  <c r="C50" i="9" s="1"/>
  <c r="C45" i="9"/>
  <c r="I60" i="8"/>
  <c r="J82" i="10"/>
  <c r="J120" i="10"/>
  <c r="J125" i="10"/>
  <c r="J114" i="10"/>
  <c r="J115" i="10"/>
  <c r="J116" i="10"/>
  <c r="J127" i="10"/>
  <c r="J117" i="10"/>
  <c r="J126" i="10"/>
  <c r="J124" i="10"/>
  <c r="J128" i="10"/>
  <c r="I127" i="10"/>
  <c r="I115" i="10"/>
  <c r="I125" i="10"/>
  <c r="I116" i="10"/>
  <c r="I114" i="10"/>
  <c r="I120" i="10"/>
  <c r="I117" i="10"/>
  <c r="I126" i="10"/>
  <c r="I124" i="10"/>
  <c r="I128" i="10"/>
  <c r="I101" i="10"/>
  <c r="I121" i="10"/>
  <c r="J123" i="6"/>
  <c r="F104" i="6"/>
  <c r="G35" i="3"/>
  <c r="G34" i="3"/>
  <c r="D100" i="16"/>
  <c r="D81" i="16"/>
  <c r="D101" i="16" s="1"/>
  <c r="D84" i="16"/>
  <c r="D104" i="16" s="1"/>
  <c r="C84" i="16"/>
  <c r="C104" i="16" s="1"/>
  <c r="B100" i="16"/>
  <c r="B81" i="16"/>
  <c r="B101" i="16" s="1"/>
  <c r="B121" i="15"/>
  <c r="D107" i="5"/>
  <c r="E100" i="16"/>
  <c r="E81" i="16"/>
  <c r="E101" i="16" s="1"/>
  <c r="B107" i="5"/>
  <c r="C81" i="16"/>
  <c r="C101" i="16" s="1"/>
  <c r="C100" i="16"/>
  <c r="H121" i="6"/>
  <c r="H118" i="6"/>
  <c r="H120" i="6"/>
  <c r="H119" i="6"/>
  <c r="C45" i="8"/>
  <c r="F33" i="3"/>
  <c r="F35" i="3"/>
  <c r="E45" i="8"/>
  <c r="F36" i="3"/>
  <c r="F37" i="3"/>
  <c r="G45" i="8"/>
  <c r="F38" i="3"/>
  <c r="H84" i="16"/>
  <c r="H104" i="16" s="1"/>
  <c r="B45" i="8"/>
  <c r="H118" i="10"/>
  <c r="H98" i="10"/>
  <c r="H82" i="10"/>
  <c r="H120" i="10"/>
  <c r="H115" i="10"/>
  <c r="H114" i="10"/>
  <c r="H125" i="10"/>
  <c r="H116" i="10"/>
  <c r="H126" i="10"/>
  <c r="H117" i="10"/>
  <c r="H127" i="10"/>
  <c r="H124" i="10"/>
  <c r="H128" i="10"/>
  <c r="H121" i="10"/>
  <c r="H101" i="10"/>
  <c r="H129" i="10"/>
  <c r="H63" i="8"/>
  <c r="H59" i="8" s="1"/>
  <c r="H57" i="8"/>
  <c r="H53" i="8" s="1"/>
  <c r="H81" i="16"/>
  <c r="H101" i="16" s="1"/>
  <c r="H100" i="16"/>
  <c r="H97" i="6"/>
  <c r="H116" i="6"/>
  <c r="H94" i="6"/>
  <c r="H113" i="6"/>
  <c r="H109" i="6"/>
  <c r="H110" i="6"/>
  <c r="H115" i="6"/>
  <c r="H111" i="6"/>
  <c r="H112" i="6"/>
  <c r="H122" i="6"/>
  <c r="H123" i="6"/>
  <c r="D119" i="5"/>
  <c r="D120" i="5"/>
  <c r="D116" i="5"/>
  <c r="D109" i="5"/>
  <c r="D111" i="5"/>
  <c r="D117" i="5"/>
  <c r="D106" i="5"/>
  <c r="D108" i="5"/>
  <c r="D115" i="5"/>
  <c r="D118" i="5"/>
  <c r="D105" i="5"/>
  <c r="D113" i="5"/>
  <c r="D92" i="5"/>
  <c r="D112" i="5"/>
  <c r="B70" i="5"/>
  <c r="B90" i="5" s="1"/>
  <c r="B89" i="5"/>
  <c r="C71" i="15"/>
  <c r="C90" i="15"/>
  <c r="C110" i="15"/>
  <c r="D74" i="5"/>
  <c r="D94" i="5" s="1"/>
  <c r="C70" i="5"/>
  <c r="C90" i="5" s="1"/>
  <c r="C89" i="5"/>
  <c r="C106" i="15"/>
  <c r="C119" i="15"/>
  <c r="C112" i="15"/>
  <c r="C107" i="15"/>
  <c r="C108" i="15"/>
  <c r="C118" i="15"/>
  <c r="C117" i="15"/>
  <c r="C109" i="15"/>
  <c r="C116" i="15"/>
  <c r="C120" i="15"/>
  <c r="E113" i="5"/>
  <c r="E93" i="5"/>
  <c r="E92" i="5"/>
  <c r="E112" i="5"/>
  <c r="E90" i="5"/>
  <c r="E110" i="5"/>
  <c r="C93" i="15"/>
  <c r="C113" i="15"/>
  <c r="D90" i="15"/>
  <c r="D110" i="15"/>
  <c r="D93" i="15"/>
  <c r="D113" i="15"/>
  <c r="D74" i="15"/>
  <c r="D113" i="6"/>
  <c r="F114" i="6"/>
  <c r="D114" i="6"/>
  <c r="F94" i="6"/>
  <c r="B74" i="15"/>
  <c r="B94" i="15" s="1"/>
  <c r="C74" i="15"/>
  <c r="B84" i="16"/>
  <c r="B104" i="16" s="1"/>
  <c r="F79" i="6"/>
  <c r="F86" i="6" s="1"/>
  <c r="F87" i="6" s="1"/>
  <c r="B119" i="5"/>
  <c r="D110" i="5"/>
  <c r="C113" i="6"/>
  <c r="E97" i="6"/>
  <c r="C76" i="6"/>
  <c r="C114" i="6" s="1"/>
  <c r="C116" i="6"/>
  <c r="G51" i="8"/>
  <c r="G63" i="8" s="1"/>
  <c r="B112" i="5"/>
  <c r="D116" i="6"/>
  <c r="E94" i="6"/>
  <c r="G121" i="6"/>
  <c r="G119" i="6"/>
  <c r="G109" i="6"/>
  <c r="G111" i="6"/>
  <c r="G120" i="6"/>
  <c r="G110" i="6"/>
  <c r="G122" i="6"/>
  <c r="G118" i="6"/>
  <c r="G115" i="6"/>
  <c r="G112" i="6"/>
  <c r="G85" i="16"/>
  <c r="G119" i="16"/>
  <c r="G123" i="16"/>
  <c r="G127" i="16"/>
  <c r="G130" i="16"/>
  <c r="G118" i="16"/>
  <c r="G122" i="16"/>
  <c r="G126" i="16"/>
  <c r="G129" i="16"/>
  <c r="G133" i="16"/>
  <c r="G115" i="16" s="1"/>
  <c r="G117" i="16"/>
  <c r="G121" i="16"/>
  <c r="G125" i="16"/>
  <c r="G128" i="16"/>
  <c r="G132" i="16"/>
  <c r="G120" i="16"/>
  <c r="G124" i="16"/>
  <c r="G131" i="16"/>
  <c r="G116" i="16"/>
  <c r="H79" i="10"/>
  <c r="F118" i="16"/>
  <c r="F122" i="16"/>
  <c r="F126" i="16"/>
  <c r="F129" i="16"/>
  <c r="F133" i="16"/>
  <c r="F115" i="16" s="1"/>
  <c r="F117" i="16"/>
  <c r="F121" i="16"/>
  <c r="F125" i="16"/>
  <c r="F128" i="16"/>
  <c r="F132" i="16"/>
  <c r="F120" i="16"/>
  <c r="F124" i="16"/>
  <c r="F131" i="16"/>
  <c r="F116" i="16"/>
  <c r="F119" i="16"/>
  <c r="F123" i="16"/>
  <c r="F127" i="16"/>
  <c r="F130" i="16"/>
  <c r="F85" i="16"/>
  <c r="F105" i="16" s="1"/>
  <c r="G97" i="6"/>
  <c r="G116" i="6"/>
  <c r="G94" i="6"/>
  <c r="G113" i="6"/>
  <c r="G76" i="6"/>
  <c r="G79" i="6" s="1"/>
  <c r="H76" i="6"/>
  <c r="D71" i="15"/>
  <c r="G123" i="6"/>
  <c r="H47" i="8"/>
  <c r="H120" i="16"/>
  <c r="H131" i="16"/>
  <c r="H116" i="16"/>
  <c r="H119" i="16"/>
  <c r="H123" i="16"/>
  <c r="H127" i="16"/>
  <c r="H130" i="16"/>
  <c r="H118" i="16"/>
  <c r="H122" i="16"/>
  <c r="H126" i="16"/>
  <c r="H129" i="16"/>
  <c r="H117" i="16"/>
  <c r="H128" i="16"/>
  <c r="B118" i="6"/>
  <c r="D94" i="6"/>
  <c r="F113" i="6"/>
  <c r="E76" i="6"/>
  <c r="E114" i="6" s="1"/>
  <c r="F116" i="6"/>
  <c r="D79" i="6"/>
  <c r="D86" i="6" s="1"/>
  <c r="D87" i="6" s="1"/>
  <c r="D106" i="6" s="1"/>
  <c r="D89" i="6" s="1"/>
  <c r="E123" i="16"/>
  <c r="E127" i="16"/>
  <c r="E128" i="16"/>
  <c r="E130" i="16"/>
  <c r="E118" i="16"/>
  <c r="E120" i="16"/>
  <c r="E122" i="16"/>
  <c r="E126" i="16"/>
  <c r="E129" i="16"/>
  <c r="E131" i="16"/>
  <c r="E116" i="16"/>
  <c r="E117" i="16"/>
  <c r="E119" i="16"/>
  <c r="B118" i="16"/>
  <c r="B120" i="16"/>
  <c r="B122" i="16"/>
  <c r="B126" i="16"/>
  <c r="B129" i="16"/>
  <c r="B131" i="16"/>
  <c r="B123" i="16"/>
  <c r="B127" i="16"/>
  <c r="B128" i="16"/>
  <c r="B130" i="16"/>
  <c r="B116" i="16"/>
  <c r="B117" i="16"/>
  <c r="B119" i="16"/>
  <c r="C123" i="16"/>
  <c r="C127" i="16"/>
  <c r="C128" i="16"/>
  <c r="C130" i="16"/>
  <c r="C118" i="16"/>
  <c r="C120" i="16"/>
  <c r="C122" i="16"/>
  <c r="C126" i="16"/>
  <c r="C129" i="16"/>
  <c r="C131" i="16"/>
  <c r="C116" i="16"/>
  <c r="C117" i="16"/>
  <c r="C119" i="16"/>
  <c r="D118" i="16"/>
  <c r="D120" i="16"/>
  <c r="D122" i="16"/>
  <c r="D126" i="16"/>
  <c r="D129" i="16"/>
  <c r="D131" i="16"/>
  <c r="D116" i="16"/>
  <c r="D123" i="16"/>
  <c r="D127" i="16"/>
  <c r="D128" i="16"/>
  <c r="D130" i="16"/>
  <c r="D117" i="16"/>
  <c r="D119" i="16"/>
  <c r="D63" i="8"/>
  <c r="D59" i="8" s="1"/>
  <c r="F22" i="3" s="1"/>
  <c r="D82" i="10"/>
  <c r="C82" i="10"/>
  <c r="B118" i="5"/>
  <c r="B115" i="5"/>
  <c r="B117" i="5"/>
  <c r="B109" i="5"/>
  <c r="B111" i="5"/>
  <c r="B106" i="5"/>
  <c r="E61" i="8"/>
  <c r="B61" i="8"/>
  <c r="G61" i="8"/>
  <c r="B94" i="6"/>
  <c r="B120" i="5"/>
  <c r="B105" i="5"/>
  <c r="B108" i="5"/>
  <c r="B116" i="5"/>
  <c r="E74" i="5"/>
  <c r="C119" i="5"/>
  <c r="C116" i="5"/>
  <c r="C118" i="5"/>
  <c r="C111" i="5"/>
  <c r="C113" i="5"/>
  <c r="C112" i="5"/>
  <c r="F47" i="8"/>
  <c r="D47" i="8"/>
  <c r="C109" i="5"/>
  <c r="C108" i="5"/>
  <c r="C120" i="5"/>
  <c r="C117" i="5"/>
  <c r="C115" i="5"/>
  <c r="C107" i="5"/>
  <c r="C105" i="5"/>
  <c r="F63" i="8"/>
  <c r="F59" i="8" s="1"/>
  <c r="G60" i="8"/>
  <c r="E57" i="8"/>
  <c r="E53" i="8" s="1"/>
  <c r="E63" i="8"/>
  <c r="E47" i="8"/>
  <c r="B56" i="8"/>
  <c r="B62" i="8"/>
  <c r="C56" i="8"/>
  <c r="C62" i="8"/>
  <c r="G82" i="10"/>
  <c r="D79" i="10"/>
  <c r="G56" i="8"/>
  <c r="G62" i="8"/>
  <c r="B82" i="10"/>
  <c r="E60" i="8"/>
  <c r="B51" i="8"/>
  <c r="B90" i="15"/>
  <c r="B110" i="15"/>
  <c r="B71" i="15"/>
  <c r="B113" i="15"/>
  <c r="B116" i="15"/>
  <c r="B117" i="15"/>
  <c r="B118" i="15"/>
  <c r="B119" i="15"/>
  <c r="B109" i="15"/>
  <c r="B106" i="15"/>
  <c r="B107" i="15"/>
  <c r="B108" i="15"/>
  <c r="B112" i="15"/>
  <c r="B120" i="15"/>
  <c r="E56" i="8"/>
  <c r="E62" i="8"/>
  <c r="C60" i="8"/>
  <c r="C61" i="8"/>
  <c r="G79" i="10"/>
  <c r="F79" i="10"/>
  <c r="E79" i="10"/>
  <c r="E82" i="10"/>
  <c r="C79" i="10"/>
  <c r="B79" i="10"/>
  <c r="B60" i="8"/>
  <c r="C51" i="8"/>
  <c r="B121" i="6"/>
  <c r="B76" i="6"/>
  <c r="B114" i="6" s="1"/>
  <c r="B111" i="6"/>
  <c r="B110" i="6"/>
  <c r="B115" i="6"/>
  <c r="B116" i="6"/>
  <c r="B119" i="6"/>
  <c r="B112" i="6"/>
  <c r="B113" i="6"/>
  <c r="B120" i="6"/>
  <c r="B122" i="6"/>
  <c r="B109" i="6"/>
  <c r="B113" i="5"/>
  <c r="I103" i="10" l="1"/>
  <c r="I123" i="10"/>
  <c r="I90" i="10"/>
  <c r="G119" i="10"/>
  <c r="G99" i="10"/>
  <c r="J122" i="10"/>
  <c r="J102" i="10"/>
  <c r="E122" i="10"/>
  <c r="E102" i="10"/>
  <c r="B102" i="10"/>
  <c r="B122" i="10"/>
  <c r="J114" i="6"/>
  <c r="J95" i="6"/>
  <c r="E99" i="10"/>
  <c r="E119" i="10"/>
  <c r="D122" i="10"/>
  <c r="D102" i="10"/>
  <c r="C119" i="10"/>
  <c r="C99" i="10"/>
  <c r="D119" i="10"/>
  <c r="D99" i="10"/>
  <c r="J47" i="8"/>
  <c r="J63" i="8"/>
  <c r="J59" i="8" s="1"/>
  <c r="J57" i="8"/>
  <c r="J53" i="8" s="1"/>
  <c r="I114" i="6"/>
  <c r="I95" i="6"/>
  <c r="J117" i="6"/>
  <c r="J86" i="6"/>
  <c r="J98" i="6"/>
  <c r="G122" i="10"/>
  <c r="G102" i="10"/>
  <c r="C102" i="10"/>
  <c r="C122" i="10"/>
  <c r="I99" i="10"/>
  <c r="I119" i="10"/>
  <c r="B119" i="10"/>
  <c r="B99" i="10"/>
  <c r="F119" i="10"/>
  <c r="F99" i="10"/>
  <c r="I79" i="6"/>
  <c r="J83" i="10"/>
  <c r="J99" i="10"/>
  <c r="J119" i="10"/>
  <c r="C85" i="16"/>
  <c r="C105" i="16" s="1"/>
  <c r="E85" i="16"/>
  <c r="E105" i="16" s="1"/>
  <c r="H124" i="16"/>
  <c r="D85" i="16"/>
  <c r="D105" i="16" s="1"/>
  <c r="F20" i="3"/>
  <c r="H122" i="10"/>
  <c r="H102" i="10"/>
  <c r="H83" i="10"/>
  <c r="H90" i="10" s="1"/>
  <c r="H99" i="10"/>
  <c r="H119" i="10"/>
  <c r="H85" i="16"/>
  <c r="H105" i="16" s="1"/>
  <c r="H121" i="16"/>
  <c r="G92" i="16"/>
  <c r="G105" i="16"/>
  <c r="H95" i="6"/>
  <c r="H114" i="6"/>
  <c r="F117" i="6"/>
  <c r="C110" i="5"/>
  <c r="B74" i="5"/>
  <c r="B94" i="5" s="1"/>
  <c r="D81" i="5"/>
  <c r="D82" i="5" s="1"/>
  <c r="C74" i="5"/>
  <c r="C81" i="5" s="1"/>
  <c r="C91" i="15"/>
  <c r="C111" i="15"/>
  <c r="E94" i="5"/>
  <c r="E114" i="5"/>
  <c r="D111" i="15"/>
  <c r="D91" i="15"/>
  <c r="D94" i="15"/>
  <c r="D114" i="15"/>
  <c r="C94" i="15"/>
  <c r="C114" i="15"/>
  <c r="C79" i="6"/>
  <c r="C98" i="6" s="1"/>
  <c r="G57" i="8"/>
  <c r="G53" i="8" s="1"/>
  <c r="C95" i="6"/>
  <c r="F98" i="6"/>
  <c r="F92" i="16"/>
  <c r="D105" i="6"/>
  <c r="D98" i="6"/>
  <c r="D117" i="6"/>
  <c r="E79" i="6"/>
  <c r="E117" i="6" s="1"/>
  <c r="G47" i="8"/>
  <c r="E95" i="6"/>
  <c r="H92" i="16"/>
  <c r="H112" i="16" s="1"/>
  <c r="D124" i="6"/>
  <c r="C75" i="15"/>
  <c r="D75" i="15"/>
  <c r="G114" i="6"/>
  <c r="G95" i="6"/>
  <c r="H79" i="6"/>
  <c r="G117" i="6"/>
  <c r="G98" i="6"/>
  <c r="G86" i="6"/>
  <c r="C124" i="16"/>
  <c r="B121" i="16"/>
  <c r="E124" i="16"/>
  <c r="D121" i="16"/>
  <c r="D124" i="16"/>
  <c r="C121" i="16"/>
  <c r="B124" i="16"/>
  <c r="E121" i="16"/>
  <c r="F47" i="3"/>
  <c r="D83" i="10"/>
  <c r="G83" i="10"/>
  <c r="G59" i="8"/>
  <c r="F27" i="3" s="1"/>
  <c r="F52" i="3" s="1"/>
  <c r="E83" i="10"/>
  <c r="B79" i="6"/>
  <c r="B86" i="6" s="1"/>
  <c r="D125" i="6"/>
  <c r="B83" i="10"/>
  <c r="C83" i="10"/>
  <c r="F83" i="10"/>
  <c r="B75" i="15"/>
  <c r="B111" i="15"/>
  <c r="B91" i="15"/>
  <c r="C57" i="8"/>
  <c r="C53" i="8" s="1"/>
  <c r="C63" i="8"/>
  <c r="C47" i="8"/>
  <c r="B85" i="16"/>
  <c r="B105" i="16" s="1"/>
  <c r="B114" i="15"/>
  <c r="B57" i="8"/>
  <c r="B53" i="8" s="1"/>
  <c r="B63" i="8"/>
  <c r="B47" i="8"/>
  <c r="E59" i="8"/>
  <c r="D70" i="6"/>
  <c r="B95" i="6"/>
  <c r="C86" i="6"/>
  <c r="F125" i="6"/>
  <c r="F106" i="6"/>
  <c r="F89" i="6" s="1"/>
  <c r="F70" i="6"/>
  <c r="F124" i="6"/>
  <c r="F105" i="6"/>
  <c r="C123" i="10" l="1"/>
  <c r="C103" i="10"/>
  <c r="E123" i="10"/>
  <c r="E103" i="10"/>
  <c r="I117" i="6"/>
  <c r="I98" i="6"/>
  <c r="I86" i="6"/>
  <c r="J124" i="6"/>
  <c r="J105" i="6"/>
  <c r="J87" i="6"/>
  <c r="B123" i="10"/>
  <c r="B103" i="10"/>
  <c r="I91" i="10"/>
  <c r="I110" i="10"/>
  <c r="I130" i="10"/>
  <c r="G123" i="10"/>
  <c r="G103" i="10"/>
  <c r="F123" i="10"/>
  <c r="F103" i="10"/>
  <c r="D123" i="10"/>
  <c r="D103" i="10"/>
  <c r="J103" i="10"/>
  <c r="J123" i="10"/>
  <c r="J90" i="10"/>
  <c r="F23" i="3"/>
  <c r="F48" i="3" s="1"/>
  <c r="F25" i="3"/>
  <c r="F50" i="3" s="1"/>
  <c r="F24" i="3"/>
  <c r="F49" i="3" s="1"/>
  <c r="F26" i="3"/>
  <c r="F51" i="3" s="1"/>
  <c r="H91" i="10"/>
  <c r="H73" i="10" s="1"/>
  <c r="H130" i="10"/>
  <c r="H110" i="10"/>
  <c r="H103" i="10"/>
  <c r="H123" i="10"/>
  <c r="H125" i="16"/>
  <c r="G93" i="16"/>
  <c r="G112" i="16"/>
  <c r="F93" i="16"/>
  <c r="F112" i="16"/>
  <c r="H98" i="6"/>
  <c r="H117" i="6"/>
  <c r="B81" i="5"/>
  <c r="B101" i="5" s="1"/>
  <c r="D101" i="5"/>
  <c r="C94" i="5"/>
  <c r="C101" i="5"/>
  <c r="C82" i="5"/>
  <c r="D102" i="5"/>
  <c r="D84" i="5" s="1"/>
  <c r="D64" i="5"/>
  <c r="D115" i="15"/>
  <c r="D95" i="15"/>
  <c r="C117" i="6"/>
  <c r="C95" i="15"/>
  <c r="C115" i="15"/>
  <c r="C82" i="15"/>
  <c r="E86" i="6"/>
  <c r="E87" i="6" s="1"/>
  <c r="E125" i="6" s="1"/>
  <c r="E108" i="6" s="1"/>
  <c r="E98" i="6"/>
  <c r="D92" i="16"/>
  <c r="D112" i="16" s="1"/>
  <c r="H93" i="16"/>
  <c r="H113" i="16" s="1"/>
  <c r="H132" i="16"/>
  <c r="G124" i="6"/>
  <c r="G105" i="6"/>
  <c r="G87" i="6"/>
  <c r="D82" i="15"/>
  <c r="H86" i="6"/>
  <c r="E125" i="16"/>
  <c r="D125" i="16"/>
  <c r="B125" i="16"/>
  <c r="C92" i="16"/>
  <c r="C112" i="16" s="1"/>
  <c r="C125" i="16"/>
  <c r="D90" i="10"/>
  <c r="E90" i="10"/>
  <c r="G90" i="10"/>
  <c r="B59" i="8"/>
  <c r="F45" i="3"/>
  <c r="D108" i="6"/>
  <c r="C87" i="6"/>
  <c r="C70" i="6" s="1"/>
  <c r="B124" i="6"/>
  <c r="B87" i="6"/>
  <c r="B70" i="6" s="1"/>
  <c r="B110" i="5"/>
  <c r="C59" i="8"/>
  <c r="F21" i="3" s="1"/>
  <c r="F46" i="3" s="1"/>
  <c r="B95" i="15"/>
  <c r="B115" i="15"/>
  <c r="B82" i="15"/>
  <c r="B83" i="15" s="1"/>
  <c r="C90" i="10"/>
  <c r="F108" i="6"/>
  <c r="E92" i="16"/>
  <c r="E112" i="16" s="1"/>
  <c r="B92" i="16"/>
  <c r="B112" i="16" s="1"/>
  <c r="F90" i="10"/>
  <c r="B90" i="10"/>
  <c r="B98" i="6"/>
  <c r="C124" i="6"/>
  <c r="C105" i="6"/>
  <c r="B105" i="6"/>
  <c r="B117" i="6"/>
  <c r="B91" i="10" l="1"/>
  <c r="B130" i="10"/>
  <c r="B110" i="10"/>
  <c r="D22" i="3"/>
  <c r="D47" i="3" s="1"/>
  <c r="D23" i="3"/>
  <c r="D48" i="3" s="1"/>
  <c r="J91" i="10"/>
  <c r="J130" i="10"/>
  <c r="J110" i="10"/>
  <c r="F91" i="10"/>
  <c r="F110" i="10"/>
  <c r="F130" i="10"/>
  <c r="C91" i="10"/>
  <c r="C110" i="10"/>
  <c r="C130" i="10"/>
  <c r="G91" i="10"/>
  <c r="G73" i="10" s="1"/>
  <c r="G130" i="10"/>
  <c r="G110" i="10"/>
  <c r="I124" i="6"/>
  <c r="I105" i="6"/>
  <c r="I87" i="6"/>
  <c r="D26" i="3"/>
  <c r="D27" i="3"/>
  <c r="D20" i="3"/>
  <c r="E91" i="10"/>
  <c r="E73" i="10" s="1"/>
  <c r="E110" i="10"/>
  <c r="E130" i="10"/>
  <c r="J106" i="6"/>
  <c r="J89" i="6" s="1"/>
  <c r="J70" i="6"/>
  <c r="J125" i="6"/>
  <c r="J108" i="6" s="1"/>
  <c r="D91" i="10"/>
  <c r="D110" i="10"/>
  <c r="D130" i="10"/>
  <c r="I73" i="10"/>
  <c r="I131" i="10"/>
  <c r="I113" i="10" s="1"/>
  <c r="I111" i="10"/>
  <c r="I93" i="10" s="1"/>
  <c r="D45" i="3"/>
  <c r="H111" i="10"/>
  <c r="H93" i="10" s="1"/>
  <c r="H131" i="10"/>
  <c r="H113" i="10" s="1"/>
  <c r="G75" i="16"/>
  <c r="G113" i="16"/>
  <c r="G95" i="16" s="1"/>
  <c r="F75" i="16"/>
  <c r="F113" i="16"/>
  <c r="F95" i="16" s="1"/>
  <c r="H105" i="6"/>
  <c r="H124" i="6"/>
  <c r="B82" i="5"/>
  <c r="B64" i="5" s="1"/>
  <c r="E105" i="6"/>
  <c r="E124" i="6"/>
  <c r="C64" i="5"/>
  <c r="C102" i="5"/>
  <c r="C84" i="5" s="1"/>
  <c r="C83" i="15"/>
  <c r="C65" i="15" s="1"/>
  <c r="C122" i="15"/>
  <c r="C102" i="15"/>
  <c r="D102" i="15"/>
  <c r="D122" i="15"/>
  <c r="D132" i="16"/>
  <c r="D93" i="16"/>
  <c r="H75" i="16"/>
  <c r="H95" i="16"/>
  <c r="H133" i="16"/>
  <c r="H87" i="6"/>
  <c r="D83" i="15"/>
  <c r="G70" i="6"/>
  <c r="G125" i="6"/>
  <c r="G108" i="6" s="1"/>
  <c r="G106" i="6"/>
  <c r="G89" i="6" s="1"/>
  <c r="C132" i="16"/>
  <c r="C93" i="16"/>
  <c r="C113" i="16" s="1"/>
  <c r="E93" i="16"/>
  <c r="E113" i="16" s="1"/>
  <c r="E132" i="16"/>
  <c r="B93" i="16"/>
  <c r="B113" i="16" s="1"/>
  <c r="B132" i="16"/>
  <c r="E70" i="6"/>
  <c r="E106" i="6"/>
  <c r="E89" i="6" s="1"/>
  <c r="C125" i="6"/>
  <c r="C108" i="6" s="1"/>
  <c r="C106" i="6"/>
  <c r="C89" i="6" s="1"/>
  <c r="D73" i="10"/>
  <c r="B122" i="15"/>
  <c r="B102" i="15"/>
  <c r="B73" i="10"/>
  <c r="B123" i="15"/>
  <c r="B65" i="15"/>
  <c r="B103" i="15"/>
  <c r="B85" i="15" s="1"/>
  <c r="B125" i="6"/>
  <c r="B106" i="6"/>
  <c r="B89" i="6" s="1"/>
  <c r="D21" i="3" l="1"/>
  <c r="D46" i="3" s="1"/>
  <c r="D24" i="3"/>
  <c r="D49" i="3" s="1"/>
  <c r="D25" i="3"/>
  <c r="D50" i="3" s="1"/>
  <c r="G111" i="10"/>
  <c r="G93" i="10" s="1"/>
  <c r="G131" i="10"/>
  <c r="G113" i="10" s="1"/>
  <c r="F111" i="10"/>
  <c r="F131" i="10"/>
  <c r="F113" i="10" s="1"/>
  <c r="B111" i="10"/>
  <c r="B93" i="10" s="1"/>
  <c r="B131" i="10"/>
  <c r="B113" i="10" s="1"/>
  <c r="E131" i="10"/>
  <c r="E113" i="10" s="1"/>
  <c r="E111" i="10"/>
  <c r="E93" i="10" s="1"/>
  <c r="I70" i="6"/>
  <c r="I125" i="6"/>
  <c r="I108" i="6" s="1"/>
  <c r="I106" i="6"/>
  <c r="I89" i="6" s="1"/>
  <c r="C111" i="10"/>
  <c r="C131" i="10"/>
  <c r="C113" i="10" s="1"/>
  <c r="D131" i="10"/>
  <c r="D113" i="10" s="1"/>
  <c r="G21" i="3" s="1"/>
  <c r="G46" i="3" s="1"/>
  <c r="D111" i="10"/>
  <c r="D93" i="10" s="1"/>
  <c r="J111" i="10"/>
  <c r="J93" i="10" s="1"/>
  <c r="J73" i="10"/>
  <c r="J131" i="10"/>
  <c r="J113" i="10" s="1"/>
  <c r="D113" i="16"/>
  <c r="D95" i="16" s="1"/>
  <c r="H106" i="6"/>
  <c r="H89" i="6" s="1"/>
  <c r="H125" i="6"/>
  <c r="H108" i="6" s="1"/>
  <c r="B102" i="5"/>
  <c r="B84" i="5" s="1"/>
  <c r="D65" i="15"/>
  <c r="D103" i="15"/>
  <c r="D85" i="15" s="1"/>
  <c r="D123" i="15"/>
  <c r="D105" i="15" s="1"/>
  <c r="C103" i="15"/>
  <c r="C85" i="15" s="1"/>
  <c r="C123" i="15"/>
  <c r="C105" i="15" s="1"/>
  <c r="H115" i="16"/>
  <c r="D75" i="16"/>
  <c r="D133" i="16"/>
  <c r="C95" i="16"/>
  <c r="C75" i="16"/>
  <c r="H70" i="6"/>
  <c r="C133" i="16"/>
  <c r="B133" i="16"/>
  <c r="B95" i="16"/>
  <c r="E95" i="16"/>
  <c r="E133" i="16"/>
  <c r="D51" i="3"/>
  <c r="D52" i="3"/>
  <c r="G45" i="3"/>
  <c r="G50" i="3"/>
  <c r="G49" i="3"/>
  <c r="E75" i="16"/>
  <c r="C73" i="10"/>
  <c r="C93" i="10"/>
  <c r="F93" i="10"/>
  <c r="F73" i="10"/>
  <c r="B108" i="6"/>
  <c r="B75" i="16"/>
  <c r="B105" i="15"/>
  <c r="G22" i="3" l="1"/>
  <c r="G47" i="3" s="1"/>
  <c r="G23" i="3"/>
  <c r="G48" i="3" s="1"/>
  <c r="C22" i="3"/>
  <c r="C47" i="3" s="1"/>
  <c r="C23" i="3"/>
  <c r="C48" i="3" s="1"/>
  <c r="E26" i="3"/>
  <c r="E51" i="3" s="1"/>
  <c r="E27" i="3"/>
  <c r="E52" i="3" s="1"/>
  <c r="D115" i="16"/>
  <c r="C115" i="16"/>
  <c r="E115" i="16"/>
  <c r="B115" i="16"/>
  <c r="E25" i="3" l="1"/>
  <c r="E50" i="3" s="1"/>
  <c r="E24" i="3"/>
  <c r="E49" i="3" s="1"/>
  <c r="E20" i="3"/>
  <c r="E45" i="3" s="1"/>
  <c r="B114" i="5"/>
  <c r="B121" i="5" l="1"/>
  <c r="B122" i="5" l="1"/>
  <c r="B104" i="5" s="1"/>
  <c r="C114" i="5"/>
  <c r="B22" i="3" l="1"/>
  <c r="B47" i="3" s="1"/>
  <c r="B24" i="3"/>
  <c r="B49" i="3" s="1"/>
  <c r="B21" i="3"/>
  <c r="B46" i="3" s="1"/>
  <c r="B23" i="3"/>
  <c r="B48" i="3" s="1"/>
  <c r="B27" i="3"/>
  <c r="B25" i="3"/>
  <c r="B50" i="3" s="1"/>
  <c r="C121" i="5"/>
  <c r="C122" i="5" l="1"/>
  <c r="C104" i="5" s="1"/>
  <c r="D114" i="5"/>
  <c r="D121" i="5" l="1"/>
  <c r="D122" i="5" l="1"/>
  <c r="D104" i="5" s="1"/>
  <c r="E81" i="5"/>
  <c r="B26" i="3" l="1"/>
  <c r="B20" i="3"/>
  <c r="B45" i="3" s="1"/>
  <c r="E101" i="5"/>
  <c r="E121" i="5"/>
  <c r="E82" i="5"/>
  <c r="E102" i="5" l="1"/>
  <c r="E84" i="5" s="1"/>
  <c r="E122" i="5"/>
  <c r="E104" i="5" s="1"/>
  <c r="B51" i="3"/>
  <c r="B52" i="3"/>
  <c r="E64" i="5"/>
  <c r="B46" i="9" l="1"/>
  <c r="B51" i="9" l="1"/>
  <c r="B56" i="9"/>
  <c r="B48" i="9"/>
  <c r="B53" i="9" l="1"/>
  <c r="B50" i="9" s="1"/>
  <c r="B58" i="9"/>
  <c r="B45" i="9"/>
  <c r="B55" i="9" l="1"/>
  <c r="K7" i="2"/>
  <c r="H52" i="3" l="1"/>
  <c r="J52" i="3" s="1"/>
  <c r="H23" i="3"/>
  <c r="H48" i="3" s="1"/>
  <c r="J48" i="3" s="1"/>
  <c r="H20" i="3"/>
  <c r="H45" i="3" s="1"/>
  <c r="J45" i="3" s="1"/>
  <c r="H21" i="3"/>
  <c r="H46" i="3" s="1"/>
  <c r="J46" i="3" s="1"/>
  <c r="H22" i="3"/>
  <c r="J22" i="3" s="1"/>
  <c r="J27" i="3"/>
  <c r="H49" i="3"/>
  <c r="J49" i="3" s="1"/>
  <c r="H51" i="3"/>
  <c r="J51" i="3" s="1"/>
  <c r="J26" i="3"/>
  <c r="J25" i="3"/>
  <c r="H50" i="3"/>
  <c r="J50" i="3" s="1"/>
  <c r="J21" i="3" l="1"/>
  <c r="H47" i="3"/>
  <c r="J47" i="3" s="1"/>
  <c r="J23" i="3"/>
  <c r="J20" i="3"/>
  <c r="J24" i="3"/>
</calcChain>
</file>

<file path=xl/comments1.xml><?xml version="1.0" encoding="utf-8"?>
<comments xmlns="http://schemas.openxmlformats.org/spreadsheetml/2006/main">
  <authors>
    <author>Helmer Belbo</author>
  </authors>
  <commentList>
    <comment ref="A5" authorId="0">
      <text>
        <r>
          <rPr>
            <b/>
            <sz val="8"/>
            <color indexed="81"/>
            <rFont val="Tahoma"/>
            <family val="2"/>
          </rPr>
          <t>Helmer Belbo:</t>
        </r>
        <r>
          <rPr>
            <sz val="8"/>
            <color indexed="81"/>
            <rFont val="Tahoma"/>
            <family val="2"/>
          </rPr>
          <t xml:space="preserve">
Døp gjerne kjeden med et relevant kallenavn etter hva som kjennetegner forsyningskjeden. 
Eksempel: Heltretransport, Vegkantflis direkteleveranse, Terrengbunting</t>
        </r>
      </text>
    </comment>
    <comment ref="C5" authorId="0">
      <text>
        <r>
          <rPr>
            <b/>
            <sz val="9"/>
            <color indexed="81"/>
            <rFont val="Tahoma"/>
            <family val="2"/>
          </rPr>
          <t>Helmer Belbo:</t>
        </r>
        <r>
          <rPr>
            <sz val="9"/>
            <color indexed="81"/>
            <rFont val="Tahoma"/>
            <family val="2"/>
          </rPr>
          <t xml:space="preserve">
Gjelder på avvirkningsområdet før terrengtransport. Kun bunting er tatt med som alternativ</t>
        </r>
      </text>
    </comment>
    <comment ref="D5" authorId="0">
      <text>
        <r>
          <rPr>
            <b/>
            <sz val="9"/>
            <color indexed="81"/>
            <rFont val="Tahoma"/>
            <family val="2"/>
          </rPr>
          <t>Helmer Belbo:</t>
        </r>
        <r>
          <rPr>
            <sz val="9"/>
            <color indexed="81"/>
            <rFont val="Tahoma"/>
            <family val="2"/>
          </rPr>
          <t xml:space="preserve">
LB = lassbærer. </t>
        </r>
      </text>
    </comment>
    <comment ref="A18" authorId="0">
      <text>
        <r>
          <rPr>
            <b/>
            <sz val="8"/>
            <color indexed="81"/>
            <rFont val="Tahoma"/>
            <family val="2"/>
          </rPr>
          <t>Helmer Belbo:</t>
        </r>
        <r>
          <rPr>
            <sz val="8"/>
            <color indexed="81"/>
            <rFont val="Tahoma"/>
            <family val="2"/>
          </rPr>
          <t xml:space="preserve">
Kostnadene gitt i kr per fm</t>
        </r>
        <r>
          <rPr>
            <vertAlign val="superscript"/>
            <sz val="8"/>
            <color indexed="81"/>
            <rFont val="Tahoma"/>
            <family val="2"/>
          </rPr>
          <t>3</t>
        </r>
      </text>
    </comment>
    <comment ref="A30" authorId="0">
      <text>
        <r>
          <rPr>
            <b/>
            <sz val="8"/>
            <color indexed="81"/>
            <rFont val="Tahoma"/>
            <family val="2"/>
          </rPr>
          <t>Helmer Belbo:</t>
        </r>
        <r>
          <rPr>
            <sz val="8"/>
            <color indexed="81"/>
            <rFont val="Tahoma"/>
            <family val="2"/>
          </rPr>
          <t xml:space="preserve">
Poenget med denne tabellen er å vise årsproduksjonen til den enkelte enhet i produksjonskjeden. Dermed kan en vurdere hvor mange arbeidsdager, arbeidsskift og maskiner som behøves i hvert enkelt ledd for å oppnå et gitt årsvolum. </t>
        </r>
      </text>
    </comment>
    <comment ref="A43" authorId="0">
      <text>
        <r>
          <rPr>
            <b/>
            <sz val="8"/>
            <color indexed="81"/>
            <rFont val="Tahoma"/>
            <family val="2"/>
          </rPr>
          <t>Helmer Belbo:</t>
        </r>
        <r>
          <rPr>
            <sz val="8"/>
            <color indexed="81"/>
            <rFont val="Tahoma"/>
            <family val="2"/>
          </rPr>
          <t xml:space="preserve">
Kostnadene gitt i kr per fm</t>
        </r>
        <r>
          <rPr>
            <vertAlign val="superscript"/>
            <sz val="8"/>
            <color indexed="81"/>
            <rFont val="Tahoma"/>
            <family val="2"/>
          </rPr>
          <t>3</t>
        </r>
      </text>
    </comment>
  </commentList>
</comments>
</file>

<file path=xl/comments2.xml><?xml version="1.0" encoding="utf-8"?>
<comments xmlns="http://schemas.openxmlformats.org/spreadsheetml/2006/main">
  <authors>
    <author>Helmer Belbo</author>
  </authors>
  <commentList>
    <comment ref="B2" authorId="0">
      <text>
        <r>
          <rPr>
            <b/>
            <sz val="8"/>
            <color indexed="81"/>
            <rFont val="Tahoma"/>
            <family val="2"/>
          </rPr>
          <t>Helmer Belbo:</t>
        </r>
        <r>
          <rPr>
            <sz val="8"/>
            <color indexed="81"/>
            <rFont val="Tahoma"/>
            <family val="2"/>
          </rPr>
          <t xml:space="preserve">
Denne er produktet av areal og uttak per dekar. </t>
        </r>
      </text>
    </comment>
    <comment ref="B3" authorId="0">
      <text>
        <r>
          <rPr>
            <b/>
            <sz val="8"/>
            <color indexed="81"/>
            <rFont val="Tahoma"/>
            <family val="2"/>
          </rPr>
          <t>Helmer Belbo:</t>
        </r>
        <r>
          <rPr>
            <sz val="8"/>
            <color indexed="81"/>
            <rFont val="Tahoma"/>
            <family val="2"/>
          </rPr>
          <t xml:space="preserve">
Her er vi ute etter areal (og volum) mellom hver maskintransport. Om flere nabobestand hogges samtidig, med kort transport mellom bestandene, regnes de som ett oppdrag. </t>
        </r>
      </text>
    </comment>
    <comment ref="B5" authorId="0">
      <text>
        <r>
          <rPr>
            <b/>
            <sz val="8"/>
            <color indexed="81"/>
            <rFont val="Tahoma"/>
            <family val="2"/>
          </rPr>
          <t>Helmer Belbo:</t>
        </r>
        <r>
          <rPr>
            <sz val="8"/>
            <color indexed="81"/>
            <rFont val="Tahoma"/>
            <family val="2"/>
          </rPr>
          <t xml:space="preserve">
Snitt over året kjøreavstand for uttransport av virke fra bestand tild lunneplass</t>
        </r>
      </text>
    </comment>
    <comment ref="B9" authorId="0">
      <text>
        <r>
          <rPr>
            <b/>
            <sz val="8"/>
            <color indexed="81"/>
            <rFont val="Tahoma"/>
            <family val="2"/>
          </rPr>
          <t>Helmer Belbo: Lønnsoverenskomst:</t>
        </r>
        <r>
          <rPr>
            <sz val="8"/>
            <color indexed="81"/>
            <rFont val="Tahoma"/>
            <family val="2"/>
          </rPr>
          <t xml:space="preserve">
http://arbeidsmandsforbundet.lomedia.no/wp-content/uploads/2012/02/Maskin-2010-2012.pdf</t>
        </r>
      </text>
    </comment>
    <comment ref="B12" authorId="0">
      <text>
        <r>
          <rPr>
            <b/>
            <sz val="8"/>
            <color indexed="81"/>
            <rFont val="Tahoma"/>
            <family val="2"/>
          </rPr>
          <t>Helmer Belbo:</t>
        </r>
        <r>
          <rPr>
            <sz val="8"/>
            <color indexed="81"/>
            <rFont val="Tahoma"/>
            <family val="2"/>
          </rPr>
          <t xml:space="preserve">
Beregningsgrunnlag er brutto lønn og annet arbeidsvedelag</t>
        </r>
      </text>
    </comment>
    <comment ref="B14" authorId="0">
      <text>
        <r>
          <rPr>
            <b/>
            <sz val="8"/>
            <color indexed="81"/>
            <rFont val="Tahoma"/>
            <family val="2"/>
          </rPr>
          <t>Helmer Belbo:</t>
        </r>
        <r>
          <rPr>
            <sz val="8"/>
            <color indexed="81"/>
            <rFont val="Tahoma"/>
            <family val="2"/>
          </rPr>
          <t xml:space="preserve">
Minimum innskuddsbeløp er to prosent av årslønn mellom 1  og 12G.  </t>
        </r>
      </text>
    </comment>
    <comment ref="B15" authorId="0">
      <text>
        <r>
          <rPr>
            <b/>
            <sz val="8"/>
            <color indexed="81"/>
            <rFont val="Tahoma"/>
            <family val="2"/>
          </rPr>
          <t>Helmer Belbo:</t>
        </r>
        <r>
          <rPr>
            <sz val="8"/>
            <color indexed="81"/>
            <rFont val="Tahoma"/>
            <family val="2"/>
          </rPr>
          <t xml:space="preserve">
Beregningsgrunnlag: Brutto lønn og annet arbeidsvederlag</t>
        </r>
      </text>
    </comment>
    <comment ref="B22" authorId="0">
      <text>
        <r>
          <rPr>
            <b/>
            <sz val="8"/>
            <color indexed="81"/>
            <rFont val="Tahoma"/>
            <family val="2"/>
          </rPr>
          <t>Helmer Belbo:</t>
        </r>
        <r>
          <rPr>
            <sz val="8"/>
            <color indexed="81"/>
            <rFont val="Tahoma"/>
            <family val="2"/>
          </rPr>
          <t xml:space="preserve">
pengelånsrente minus inflasjon og skattefordel</t>
        </r>
      </text>
    </comment>
    <comment ref="B24" authorId="0">
      <text>
        <r>
          <rPr>
            <b/>
            <sz val="8"/>
            <color indexed="81"/>
            <rFont val="Tahoma"/>
            <family val="2"/>
          </rPr>
          <t>Helmer Belbo:</t>
        </r>
        <r>
          <rPr>
            <sz val="8"/>
            <color indexed="81"/>
            <rFont val="Tahoma"/>
            <family val="2"/>
          </rPr>
          <t xml:space="preserve">
Prosent av summen av faste og variable kostnader</t>
        </r>
      </text>
    </comment>
  </commentList>
</comments>
</file>

<file path=xl/comments3.xml><?xml version="1.0" encoding="utf-8"?>
<comments xmlns="http://schemas.openxmlformats.org/spreadsheetml/2006/main">
  <authors>
    <author>Helmer Belbo</author>
    <author>Henrik von Hofsten</author>
  </authors>
  <commentList>
    <comment ref="A7" authorId="0">
      <text>
        <r>
          <rPr>
            <b/>
            <sz val="8"/>
            <color indexed="81"/>
            <rFont val="Tahoma"/>
            <family val="2"/>
          </rPr>
          <t xml:space="preserve">Helmer Belbo:
</t>
        </r>
        <r>
          <rPr>
            <sz val="8"/>
            <color indexed="81"/>
            <rFont val="Tahoma"/>
            <family val="2"/>
          </rPr>
          <t>Brukeren kan gjøre endringer i nesten alle cellene under "Inndata". Verdier i "Inndata", sammen med verdier i fanen "Forutsetninger", påvirker beregningene i  "Utdata".</t>
        </r>
      </text>
    </comment>
    <comment ref="A10" authorId="0">
      <text>
        <r>
          <rPr>
            <b/>
            <sz val="8"/>
            <color indexed="81"/>
            <rFont val="Tahoma"/>
            <family val="2"/>
          </rPr>
          <t>Helmer Belbo:</t>
        </r>
        <r>
          <rPr>
            <sz val="8"/>
            <color indexed="81"/>
            <rFont val="Tahoma"/>
            <family val="2"/>
          </rPr>
          <t xml:space="preserve">
Totale maskintimer, dvs antall timer maskinen er bemannet, inklusive tid til flytting, matpauser, reparasjon, planlegging, klargjøring før og etter drift, andre driftsavbrudd</t>
        </r>
      </text>
    </comment>
    <comment ref="A16" authorId="1">
      <text>
        <r>
          <rPr>
            <sz val="8"/>
            <color rgb="FF000000"/>
            <rFont val="Tahoma"/>
            <family val="2"/>
          </rPr>
          <t xml:space="preserve">Merk at avskrivningstiden ofte påvirkes av årlig driftstid. </t>
        </r>
      </text>
    </comment>
    <comment ref="A18" authorId="1">
      <text>
        <r>
          <rPr>
            <sz val="8"/>
            <color rgb="FF000000"/>
            <rFont val="Tahoma"/>
            <family val="2"/>
          </rPr>
          <t>Restverdien er satt til 20% av investeringen. Dette vil sannsynligvis variere litt mellom ulike maskiner. En spesialmaskin (som terrengflishogger) har trolig lavere restverdi enn en allroundmaskin (lassbærer).</t>
        </r>
      </text>
    </comment>
    <comment ref="A24" authorId="0">
      <text>
        <r>
          <rPr>
            <b/>
            <sz val="8"/>
            <color indexed="81"/>
            <rFont val="Tahoma"/>
            <family val="2"/>
          </rPr>
          <t>Helmer Belbo:</t>
        </r>
        <r>
          <rPr>
            <sz val="8"/>
            <color indexed="81"/>
            <rFont val="Tahoma"/>
            <family val="2"/>
          </rPr>
          <t xml:space="preserve">
Om det ikke foreliggre egne sikre erfaringstall, kan følgende fremgangsmåte benyttes for å estimere dieselforbruket. 
En motor som yter full effekt bruker, med lite avvik, 0,267 liter diesel per kWh. Dieselforbruket (liter per maskintime) estimeres med:
0.267 * Oppgitt nominell motoreffekt (kW) * lastfaktor. Lastfaktoren kan generelt bli kategorisert som følger:
80% = svært tungt arbeid
60% = tungt arbeid
40% = over normalt tungt arbeid
29-30% = Vanlig arbeidsbelastning for de fleste maskiner (anlegg)
Studie av skogsmaskiner: Holzleitner 2011, Utilization Rates and Cost Factors in Timber Harvesting Based on Long-term Machine Data. http://hrcak.srce.hr/index.php?show=clanak&amp;id_clanak_jezik=108152
Hogstmaskinr: 0,095 l/kW PMH15 =&gt; lastfaktor = 0.356
Lassbærer: 0,098 l/kW PMH15 =&gt; lastfaktor = 0.367 
Eksempel 150 kW hogstmaskin: 0,267 * 150 * 0.356 = 14,2 liter / time (gjelder effektive driftstimer)
</t>
        </r>
      </text>
    </comment>
    <comment ref="A25" authorId="0">
      <text>
        <r>
          <rPr>
            <b/>
            <sz val="9"/>
            <color indexed="81"/>
            <rFont val="Tahoma"/>
            <family val="2"/>
          </rPr>
          <t>Helmer Belbo:</t>
        </r>
        <r>
          <rPr>
            <sz val="9"/>
            <color indexed="81"/>
            <rFont val="Tahoma"/>
            <family val="2"/>
          </rPr>
          <t xml:space="preserve">
Om du vil endre dieselforbruket gjøres det med å endre lastfaktoren.</t>
        </r>
      </text>
    </comment>
    <comment ref="A26" authorId="0">
      <text>
        <r>
          <rPr>
            <b/>
            <sz val="8"/>
            <color indexed="81"/>
            <rFont val="Tahoma"/>
            <family val="2"/>
          </rPr>
          <t>Helmer Belbo:</t>
        </r>
        <r>
          <rPr>
            <sz val="8"/>
            <color indexed="81"/>
            <rFont val="Tahoma"/>
            <family val="2"/>
          </rPr>
          <t xml:space="preserve">
Kostnader for oljer og smøremidler: Estimerte kostnader per produktive maskintime for kjedeolje, motorolje, hydraulikkolje, grease etc, gitt som prosent av drivstoffkostnadene for basmaskinen. Om ikke sikre erfaringstall foreligger kan følgende verdier benyttes: 
Holzleitner 2011: Hogstmaskin: 12,6 %, Lassbærer: 7,9 %
Holzleitner 2011, Utilization Rates and Cost Factors in Timber Harvesting Based on Long-term Machine Data. http://hrcak.srce.hr/index.php?show=clanak&amp;id_clanak_jezik=108152
</t>
        </r>
      </text>
    </comment>
    <comment ref="A27" authorId="0">
      <text>
        <r>
          <rPr>
            <b/>
            <sz val="8"/>
            <color indexed="81"/>
            <rFont val="Tahoma"/>
            <family val="2"/>
          </rPr>
          <t>Helmer Belbo:</t>
        </r>
        <r>
          <rPr>
            <sz val="8"/>
            <color indexed="81"/>
            <rFont val="Tahoma"/>
            <family val="2"/>
          </rPr>
          <t xml:space="preserve">
% av anskaffelseskostnaden gjennom maskinens avskrivningstid</t>
        </r>
      </text>
    </comment>
    <comment ref="A28" authorId="0">
      <text>
        <r>
          <rPr>
            <b/>
            <sz val="8"/>
            <color indexed="81"/>
            <rFont val="Tahoma"/>
            <family val="2"/>
          </rPr>
          <t>Helmer Belbo:</t>
        </r>
        <r>
          <rPr>
            <sz val="8"/>
            <color indexed="81"/>
            <rFont val="Tahoma"/>
            <family val="2"/>
          </rPr>
          <t xml:space="preserve">
% av anskaffelseskostnaden gjennom maskinens avskrivningstid</t>
        </r>
      </text>
    </comment>
    <comment ref="A29" authorId="0">
      <text>
        <r>
          <rPr>
            <b/>
            <sz val="8"/>
            <color indexed="81"/>
            <rFont val="Tahoma"/>
            <family val="2"/>
          </rPr>
          <t>Helmer Belbo:</t>
        </r>
        <r>
          <rPr>
            <sz val="8"/>
            <color indexed="81"/>
            <rFont val="Tahoma"/>
            <family val="2"/>
          </rPr>
          <t xml:space="preserve">
Om det foreligger pålitelige erfaringstall kan disse benyttes her</t>
        </r>
      </text>
    </comment>
    <comment ref="A30" authorId="0">
      <text>
        <r>
          <rPr>
            <b/>
            <sz val="8"/>
            <color indexed="81"/>
            <rFont val="Tahoma"/>
            <family val="2"/>
          </rPr>
          <t>Helmer Belbo:</t>
        </r>
        <r>
          <rPr>
            <sz val="8"/>
            <color indexed="81"/>
            <rFont val="Tahoma"/>
            <family val="2"/>
          </rPr>
          <t xml:space="preserve">
Om det foreligger pålitelige erfaringstall kan disse benyttes her</t>
        </r>
      </text>
    </comment>
    <comment ref="A39" authorId="0">
      <text>
        <r>
          <rPr>
            <b/>
            <sz val="8"/>
            <color indexed="81"/>
            <rFont val="Tahoma"/>
            <family val="2"/>
          </rPr>
          <t>Helmer Belbo:</t>
        </r>
        <r>
          <rPr>
            <sz val="8"/>
            <color indexed="81"/>
            <rFont val="Tahoma"/>
            <family val="2"/>
          </rPr>
          <t xml:space="preserve">
Gjennomsnittelig kostnad for flytting av maskin, øvrig utstyr og personell mellom ulike hogstobjekt, utenom lønnskostnader for tapt arbeidstid for maskinoperatør. Merk at det er gjennomsnittlig kostnad per hogstobjekt. Dvs at om forflytning med maskintralle koster kr 6000, og at en for hver forflytning avvirker tre hogstobjekt, blir snittkostnaden kr 2000.</t>
        </r>
      </text>
    </comment>
    <comment ref="A42" authorId="0">
      <text>
        <r>
          <rPr>
            <b/>
            <sz val="8"/>
            <color indexed="81"/>
            <rFont val="Tahoma"/>
            <family val="2"/>
          </rPr>
          <t xml:space="preserve">Helmer Belbo: 
</t>
        </r>
        <r>
          <rPr>
            <sz val="8"/>
            <color indexed="81"/>
            <rFont val="Tahoma"/>
            <family val="2"/>
          </rPr>
          <t xml:space="preserve">Kan være forskjellig fra maskinarbeidstid om operatøren gjør annet forefallende arbeid (utenom arbeid på / i maskinen) før eller etter sitt skift
</t>
        </r>
      </text>
    </comment>
    <comment ref="A43" authorId="0">
      <text>
        <r>
          <rPr>
            <b/>
            <sz val="8"/>
            <color indexed="81"/>
            <rFont val="Tahoma"/>
            <family val="2"/>
          </rPr>
          <t>Helmer Belbo:</t>
        </r>
        <r>
          <rPr>
            <sz val="8"/>
            <color indexed="81"/>
            <rFont val="Tahoma"/>
            <family val="2"/>
          </rPr>
          <t xml:space="preserve">
Inkluderer grunnlønn og eventuelle tillegg, samt feriepenger</t>
        </r>
      </text>
    </comment>
    <comment ref="A46" authorId="0">
      <text>
        <r>
          <rPr>
            <b/>
            <sz val="8"/>
            <color indexed="81"/>
            <rFont val="Tahoma"/>
            <family val="2"/>
          </rPr>
          <t>Helmer Belbo:</t>
        </r>
        <r>
          <rPr>
            <sz val="8"/>
            <color indexed="81"/>
            <rFont val="Tahoma"/>
            <family val="2"/>
          </rPr>
          <t xml:space="preserve">
yrkesskadeforsikring, kursing, værneutstyr, telefon</t>
        </r>
      </text>
    </comment>
    <comment ref="A52" authorId="1">
      <text>
        <r>
          <rPr>
            <b/>
            <sz val="8"/>
            <color rgb="FF000000"/>
            <rFont val="Tahoma"/>
            <family val="2"/>
          </rPr>
          <t>Helmer Belbo:</t>
        </r>
        <r>
          <rPr>
            <sz val="8"/>
            <color rgb="FF000000"/>
            <rFont val="Tahoma"/>
            <family val="2"/>
          </rPr>
          <t xml:space="preserve">
MU er et mål på maskinutnyttelsesgraden. Tidsforbruk til maskinforflytning mellom ulike oppdrag er holdt utenom MU. Angis i prosent</t>
        </r>
      </text>
    </comment>
    <comment ref="A53" authorId="0">
      <text>
        <r>
          <rPr>
            <b/>
            <sz val="8"/>
            <color indexed="81"/>
            <rFont val="Tahoma"/>
            <family val="2"/>
          </rPr>
          <t>Helmer Belbo:</t>
        </r>
        <r>
          <rPr>
            <sz val="8"/>
            <color indexed="81"/>
            <rFont val="Tahoma"/>
            <family val="2"/>
          </rPr>
          <t xml:space="preserve">
Gjennomsnittlig tapt arbeidstid i.f.m flytting for hvert hogstobjekt. Tidsforbruk utenom arbeidstid telles ikke på denne posten, etter som det ikke påvirker maskinens utnyttelsesgrad og årsproduksjon. </t>
        </r>
      </text>
    </comment>
    <comment ref="A65"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66" authorId="0">
      <text>
        <r>
          <rPr>
            <b/>
            <sz val="8"/>
            <color indexed="81"/>
            <rFont val="Tahoma"/>
            <family val="2"/>
          </rPr>
          <t>Helmer Belbo:</t>
        </r>
        <r>
          <rPr>
            <sz val="8"/>
            <color indexed="81"/>
            <rFont val="Tahoma"/>
            <family val="2"/>
          </rPr>
          <t xml:space="preserve">
Estimeres ved formelen I = rente * ((kjøpsverdi * (levetid  +1) +  salgsverdi * (levetid  - 1)) / ( 2 * levetid)
Kilde: Sundberg &amp; Silversides (1988), Operational Efficiency in Forestry Volume 1: Analysis. Kluwer Academic Publischers. ISBN 90-247-3683-8</t>
        </r>
      </text>
    </comment>
    <comment ref="A70" authorId="1">
      <text>
        <r>
          <rPr>
            <b/>
            <sz val="8"/>
            <color rgb="FF000000"/>
            <rFont val="Tahoma"/>
            <family val="2"/>
          </rPr>
          <t>Henrik von Hofsten:</t>
        </r>
        <r>
          <rPr>
            <sz val="8"/>
            <color rgb="FF000000"/>
            <rFont val="Tahoma"/>
            <family val="2"/>
          </rPr>
          <t xml:space="preserve">
Den tid maskinen inte producerar p.g.a. flyyttning. Inklusive på-/avplockning av slirskydd, koppling av koja m.m.</t>
        </r>
      </text>
    </comment>
    <comment ref="A85"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105"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List>
</comments>
</file>

<file path=xl/comments4.xml><?xml version="1.0" encoding="utf-8"?>
<comments xmlns="http://schemas.openxmlformats.org/spreadsheetml/2006/main">
  <authors>
    <author>Helmer Belbo</author>
    <author>Henrik von Hofsten</author>
  </authors>
  <commentList>
    <comment ref="A10" authorId="0">
      <text>
        <r>
          <rPr>
            <b/>
            <sz val="8"/>
            <color indexed="81"/>
            <rFont val="Tahoma"/>
            <family val="2"/>
          </rPr>
          <t>Helmer Belbo:</t>
        </r>
        <r>
          <rPr>
            <sz val="8"/>
            <color indexed="81"/>
            <rFont val="Tahoma"/>
            <family val="2"/>
          </rPr>
          <t xml:space="preserve">
Totale maskintimer, dvs antall timer maskinen er bemannet, inklusive tid til flytting, matpauser, reparasjon, planlegging, klargjøring før og etter drift, andre driftsavbrudd</t>
        </r>
      </text>
    </comment>
    <comment ref="A15" authorId="1">
      <text>
        <r>
          <rPr>
            <sz val="8"/>
            <color rgb="FF000000"/>
            <rFont val="Tahoma"/>
            <family val="2"/>
          </rPr>
          <t xml:space="preserve">Merk at avskrivningstiden ofte påvirkes av årlig driftstid. </t>
        </r>
      </text>
    </comment>
    <comment ref="A17" authorId="1">
      <text>
        <r>
          <rPr>
            <sz val="8"/>
            <color rgb="FF000000"/>
            <rFont val="Tahoma"/>
            <family val="2"/>
          </rPr>
          <t>Restverdien (prosent av anskaffelseskostnad) er relatert til avskrivningstiden og antall driftstimer. Ved 10 års avskrivningstid og 1500 PMh per år er restverdien typisk 20 % for hogstmaskin og 25 % for lassbærer. En spesialmaskin (som terrengflishogger) har trolig lavere restverdi enn en allroundmaskin (lassbærer).</t>
        </r>
      </text>
    </comment>
    <comment ref="A23" authorId="0">
      <text>
        <r>
          <rPr>
            <b/>
            <sz val="9"/>
            <color indexed="81"/>
            <rFont val="Tahoma"/>
            <family val="2"/>
          </rPr>
          <t>Helmer Belbo:</t>
        </r>
        <r>
          <rPr>
            <sz val="9"/>
            <color indexed="81"/>
            <rFont val="Tahoma"/>
            <family val="2"/>
          </rPr>
          <t xml:space="preserve">
Helmer Belbo:
Om det ikke foreliggre egne sikre erfaringstall, kan følgende fremgangsmåte benyttes for å estimere dieselforbruket. 
En motor som yter full effekt bruker, med lite avvik, 0,267 liter diesel per kWh. Dieselforbruket (liter per maskintime) estimeres med:
0.267 * Oppgitt nominell motoreffekt (kW) * lastfaktor. Lastfaktoren kan generelt bli kategorisert som følger:
80% = svært tungt arbeid
60% = tungt arbeid
40% = over normalt tungt arbeid
29-30% = Vanlig arbeidsbelastning for de fleste maskiner (anlegg)
Studie av skogsmaskiner: Holzleitner 2011, Utilization Rates and Cost Factors in Timber Harvesting Based on Long-term Machine Data. http://hrcak.srce.hr/index.php?show=clanak&amp;id_clanak_jezik=108152
Hogstmaskinr: 0,095 l/kW PMH15 =&gt; lastfaktor = 0.356
Lassbærer: 0,098 l/kW PMH15 =&gt; lastfaktor = 0.367 
Eksempel 150 kW hogstmaskin: 0,267 * 150 * 0.356 = 14,2 liter / time (gjelder effektive driftstimer)</t>
        </r>
      </text>
    </comment>
    <comment ref="A24" authorId="0">
      <text>
        <r>
          <rPr>
            <b/>
            <sz val="8"/>
            <color indexed="81"/>
            <rFont val="Tahoma"/>
            <family val="2"/>
          </rPr>
          <t>Helmer Belbo:</t>
        </r>
        <r>
          <rPr>
            <sz val="8"/>
            <color indexed="81"/>
            <rFont val="Tahoma"/>
            <family val="2"/>
          </rPr>
          <t xml:space="preserve">
Om du vil endre dieselforbruket gjøres det med å endre lastfaktoren.</t>
        </r>
      </text>
    </comment>
    <comment ref="A25" authorId="0">
      <text>
        <r>
          <rPr>
            <b/>
            <sz val="8"/>
            <color indexed="81"/>
            <rFont val="Tahoma"/>
            <family val="2"/>
          </rPr>
          <t>Helmer Belbo:</t>
        </r>
        <r>
          <rPr>
            <sz val="8"/>
            <color indexed="81"/>
            <rFont val="Tahoma"/>
            <family val="2"/>
          </rPr>
          <t xml:space="preserve">
Oljer og smøremidler: Kostnad per produktive maskintime av kjedeolje, motorolje, hydraulikkolje, grease osv. Enten egne erfaringstall eller uttrykt som en prosentsats av dieselkostnadene. 
Holzleitner 2011: Hogstmaskinr: 12,6 %, Lassbærer: 7,9 %
Holzleitner 2011, Utilization Rates and Cost Factors in Timber Harvesting Based on Long-term Machine Data. http://hrcak.srce.hr/index.php?show=clanak&amp;id_clanak_jezik=108152
</t>
        </r>
      </text>
    </comment>
    <comment ref="A26" authorId="0">
      <text>
        <r>
          <rPr>
            <b/>
            <sz val="8"/>
            <color indexed="81"/>
            <rFont val="Tahoma"/>
            <family val="2"/>
          </rPr>
          <t>Helmer Belbo:</t>
        </r>
        <r>
          <rPr>
            <sz val="8"/>
            <color indexed="81"/>
            <rFont val="Tahoma"/>
            <family val="2"/>
          </rPr>
          <t xml:space="preserve">
% av anskaffelseskostnaden gjennom maskinens avskrivningstid</t>
        </r>
      </text>
    </comment>
    <comment ref="A27" authorId="0">
      <text>
        <r>
          <rPr>
            <b/>
            <sz val="8"/>
            <color indexed="81"/>
            <rFont val="Tahoma"/>
            <family val="2"/>
          </rPr>
          <t>Helmer Belbo:</t>
        </r>
        <r>
          <rPr>
            <sz val="8"/>
            <color indexed="81"/>
            <rFont val="Tahoma"/>
            <family val="2"/>
          </rPr>
          <t xml:space="preserve">
% av anskaffelseskostnaden gjennom maskinens avskrivningstid</t>
        </r>
      </text>
    </comment>
    <comment ref="A28" authorId="0">
      <text>
        <r>
          <rPr>
            <b/>
            <sz val="8"/>
            <color indexed="81"/>
            <rFont val="Tahoma"/>
            <family val="2"/>
          </rPr>
          <t>Helmer Belbo:</t>
        </r>
        <r>
          <rPr>
            <sz val="8"/>
            <color indexed="81"/>
            <rFont val="Tahoma"/>
            <family val="2"/>
          </rPr>
          <t xml:space="preserve">
Om det foreligger pålitelige erfaringstall kan disse benyttes her</t>
        </r>
      </text>
    </comment>
    <comment ref="A29" authorId="0">
      <text>
        <r>
          <rPr>
            <b/>
            <sz val="8"/>
            <color indexed="81"/>
            <rFont val="Tahoma"/>
            <family val="2"/>
          </rPr>
          <t>Helmer Belbo:</t>
        </r>
        <r>
          <rPr>
            <sz val="8"/>
            <color indexed="81"/>
            <rFont val="Tahoma"/>
            <family val="2"/>
          </rPr>
          <t xml:space="preserve">
Om det foreligger pålitelige erfaringstall kan disse benyttes her</t>
        </r>
      </text>
    </comment>
    <comment ref="A40" authorId="0">
      <text>
        <r>
          <rPr>
            <b/>
            <sz val="8"/>
            <color indexed="81"/>
            <rFont val="Tahoma"/>
            <family val="2"/>
          </rPr>
          <t>Helmer Belbo:</t>
        </r>
        <r>
          <rPr>
            <sz val="8"/>
            <color indexed="81"/>
            <rFont val="Tahoma"/>
            <family val="2"/>
          </rPr>
          <t xml:space="preserve">
Gjennomsnittelig kostnad for flytting av maskin, øvrig utstyr og personell mellom ulike hogstobjekt, utenom lønnskostnader for tapt arbeidstid for maskinoperatør. Merk at det er gjennomsnittlig kostnad per hogstobjekt. Dvs at om forflytning med maskintralle koster kr 6000, og at en for hver forflytning avvirker tre hogstobjekt, blir snittkostnaden kr 2000.</t>
        </r>
      </text>
    </comment>
    <comment ref="A43" authorId="0">
      <text>
        <r>
          <rPr>
            <b/>
            <sz val="8"/>
            <color indexed="81"/>
            <rFont val="Tahoma"/>
            <family val="2"/>
          </rPr>
          <t xml:space="preserve">Helmer Belbo: 
</t>
        </r>
        <r>
          <rPr>
            <sz val="8"/>
            <color indexed="81"/>
            <rFont val="Tahoma"/>
            <family val="2"/>
          </rPr>
          <t xml:space="preserve">Kan være forskjellig fra maskinarbeidstid om operatøren gjør annet forefallende arbeid (utenom arbeid på / i maskinen) før eller etter sitt skift
</t>
        </r>
      </text>
    </comment>
    <comment ref="A44" authorId="0">
      <text>
        <r>
          <rPr>
            <b/>
            <sz val="8"/>
            <color indexed="81"/>
            <rFont val="Tahoma"/>
            <family val="2"/>
          </rPr>
          <t>Helmer Belbo:</t>
        </r>
        <r>
          <rPr>
            <sz val="8"/>
            <color indexed="81"/>
            <rFont val="Tahoma"/>
            <family val="2"/>
          </rPr>
          <t xml:space="preserve">
Inkluderer grunnlønn og eventuelle tillegg, samt feriepenger</t>
        </r>
      </text>
    </comment>
    <comment ref="A47" authorId="0">
      <text>
        <r>
          <rPr>
            <b/>
            <sz val="8"/>
            <color indexed="81"/>
            <rFont val="Tahoma"/>
            <family val="2"/>
          </rPr>
          <t>Helmer Belbo:</t>
        </r>
        <r>
          <rPr>
            <sz val="8"/>
            <color indexed="81"/>
            <rFont val="Tahoma"/>
            <family val="2"/>
          </rPr>
          <t xml:space="preserve">
yrkesskadeforsikring, kursing, værneutstyr, telefon</t>
        </r>
      </text>
    </comment>
    <comment ref="A51" authorId="0">
      <text>
        <r>
          <rPr>
            <b/>
            <sz val="8"/>
            <color indexed="81"/>
            <rFont val="Tahoma"/>
            <family val="2"/>
          </rPr>
          <t>Helmer Belbo:</t>
        </r>
        <r>
          <rPr>
            <sz val="8"/>
            <color indexed="81"/>
            <rFont val="Tahoma"/>
            <family val="2"/>
          </rPr>
          <t xml:space="preserve">
Angi en kvalifisert gjetning på effektivt tidsforbruk per fastkubikkmeter, uavhengig av om prosessen er bunting, flishogging eller anne prosess</t>
        </r>
      </text>
    </comment>
    <comment ref="A53" authorId="1">
      <text>
        <r>
          <rPr>
            <b/>
            <sz val="8"/>
            <color rgb="FF000000"/>
            <rFont val="Tahoma"/>
            <family val="2"/>
          </rPr>
          <t>Helmer Belbo:</t>
        </r>
        <r>
          <rPr>
            <sz val="8"/>
            <color rgb="FF000000"/>
            <rFont val="Tahoma"/>
            <family val="2"/>
          </rPr>
          <t xml:space="preserve">
MU er et mål på maskinutnyttelsesgraden. Tidsforbruk til maskinforflytning mellom ulike oppdrag er holdt utenom MU. Angis i prosent</t>
        </r>
      </text>
    </comment>
    <comment ref="A66"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67" authorId="0">
      <text>
        <r>
          <rPr>
            <b/>
            <sz val="8"/>
            <color indexed="81"/>
            <rFont val="Tahoma"/>
            <family val="2"/>
          </rPr>
          <t>Helmer Belbo:</t>
        </r>
        <r>
          <rPr>
            <sz val="8"/>
            <color indexed="81"/>
            <rFont val="Tahoma"/>
            <family val="2"/>
          </rPr>
          <t xml:space="preserve">
Estimeres ved formelen I = rente * ((kjøpsverdi * (levetid  +1) +  salgsverdi * (levetid  - 1)) / ( 2 * levetid)
Kilde: Sundberg &amp; Silversides (1988), Operational Efficiency in Forestry Volume 1: Analysis. Kluwer Academic Publischers. ISBN 90-247-3683-8</t>
        </r>
      </text>
    </comment>
  </commentList>
</comments>
</file>

<file path=xl/comments5.xml><?xml version="1.0" encoding="utf-8"?>
<comments xmlns="http://schemas.openxmlformats.org/spreadsheetml/2006/main">
  <authors>
    <author>Helmer Belbo</author>
    <author>Henrik von Hofsten</author>
  </authors>
  <commentList>
    <comment ref="A6" authorId="0">
      <text>
        <r>
          <rPr>
            <b/>
            <sz val="8"/>
            <color indexed="81"/>
            <rFont val="Tahoma"/>
            <family val="2"/>
          </rPr>
          <t>Helmer Belbo:</t>
        </r>
        <r>
          <rPr>
            <sz val="8"/>
            <color indexed="81"/>
            <rFont val="Tahoma"/>
            <family val="2"/>
          </rPr>
          <t xml:space="preserve">
Hvis en lesser høyere enn toppen av lastebankene kommer dette lastearealet i tillegg til arealet mellom bankene.</t>
        </r>
      </text>
    </comment>
    <comment ref="A7" authorId="0">
      <text>
        <r>
          <rPr>
            <b/>
            <sz val="8"/>
            <color indexed="81"/>
            <rFont val="Tahoma"/>
            <family val="2"/>
          </rPr>
          <t>Helmer Belbo:</t>
        </r>
        <r>
          <rPr>
            <sz val="8"/>
            <color indexed="81"/>
            <rFont val="Tahoma"/>
            <family val="2"/>
          </rPr>
          <t xml:space="preserve">
Snittlengde på stokkene / trærne / tredelene i lasset</t>
        </r>
      </text>
    </comment>
    <comment ref="A16" authorId="0">
      <text>
        <r>
          <rPr>
            <b/>
            <sz val="8"/>
            <color indexed="81"/>
            <rFont val="Tahoma"/>
            <family val="2"/>
          </rPr>
          <t>Helmer Belbo:</t>
        </r>
        <r>
          <rPr>
            <sz val="8"/>
            <color indexed="81"/>
            <rFont val="Tahoma"/>
            <family val="2"/>
          </rPr>
          <t xml:space="preserve">
Totale maskintimer, dvs antall timer maskinen er bemannet, inklusive tid til flytting, matpauser, reparasjon, planlegging, klargjøring før og etter drift, andre driftsavbrudd</t>
        </r>
      </text>
    </comment>
    <comment ref="A21" authorId="1">
      <text>
        <r>
          <rPr>
            <sz val="8"/>
            <color rgb="FF000000"/>
            <rFont val="Tahoma"/>
            <family val="2"/>
          </rPr>
          <t xml:space="preserve">Merk at avskrivningstiden ofte påvirkes av årlig driftstid. </t>
        </r>
      </text>
    </comment>
    <comment ref="A23" authorId="1">
      <text>
        <r>
          <rPr>
            <sz val="8"/>
            <color rgb="FF000000"/>
            <rFont val="Tahoma"/>
            <family val="2"/>
          </rPr>
          <t>Restverdien er relatert til avskrivningstiden og antall driftstimer. Ved 10 års avskrivningstid og 1500 PMh per år er restverdien typisk 20 % for hogstmaskin og 25 % for lassbærer. En spesialmaskin (som terrengflishogger) har trolig lavere restverdi enn en allroundmaskin (lassbærer).</t>
        </r>
      </text>
    </comment>
    <comment ref="A29" authorId="0">
      <text>
        <r>
          <rPr>
            <b/>
            <sz val="9"/>
            <color indexed="81"/>
            <rFont val="Tahoma"/>
            <family val="2"/>
          </rPr>
          <t>Helmer Belbo:</t>
        </r>
        <r>
          <rPr>
            <sz val="9"/>
            <color indexed="81"/>
            <rFont val="Tahoma"/>
            <family val="2"/>
          </rPr>
          <t xml:space="preserve">
Om det ikke foreliggre egne sikre erfaringstall, kan følgende fremgangsmåte benyttes for å estimere dieselforbruket. 
En motor som yter full effekt bruker, med lite avvik, 0,267 liter diesel per kWh. Dieselforbruket (liter per maskintime) estimeres med:
0.267 * Oppgitt nominell motoreffekt (kW) * lastfaktor. Lastfaktoren kan generelt bli kategorisert som følger:
80% = svært tungt arbeid
60% = tungt arbeid
40% = over normalt tungt arbeid
29-30% = Vanlig arbeidsbelastning for de fleste maskiner (anlegg)
Studie av skogsmaskiner: Holzleitner 2011, Utilization Rates and Cost Factors in Timber Harvesting Based on Long-term Machine Data. http://hrcak.srce.hr/index.php?show=clanak&amp;id_clanak_jezik=108152
Hogstmaskinr: 0,095 l/kW PMH15 =&gt; lastfaktor = 0.356
Lassbærer: 0,098 l/kW PMH15 =&gt; lastfaktor = 0.367 
Eksempel 150 kW hogstmaskin: 0,267 * 150 * 0.356 = 14,2 liter / time (gjelder effektive driftstimer)</t>
        </r>
      </text>
    </comment>
    <comment ref="A30" authorId="0">
      <text>
        <r>
          <rPr>
            <b/>
            <sz val="8"/>
            <color indexed="81"/>
            <rFont val="Tahoma"/>
            <family val="2"/>
          </rPr>
          <t>Helmer Belbo:</t>
        </r>
        <r>
          <rPr>
            <sz val="8"/>
            <color indexed="81"/>
            <rFont val="Tahoma"/>
            <family val="2"/>
          </rPr>
          <t xml:space="preserve">
Om du vil gjøre om dieselforbruket gjøres det ved og endre lastfaktoren</t>
        </r>
      </text>
    </comment>
    <comment ref="A31" authorId="0">
      <text>
        <r>
          <rPr>
            <b/>
            <sz val="8"/>
            <color indexed="81"/>
            <rFont val="Tahoma"/>
            <family val="2"/>
          </rPr>
          <t>Helmer Belbo:</t>
        </r>
        <r>
          <rPr>
            <sz val="8"/>
            <color indexed="81"/>
            <rFont val="Tahoma"/>
            <family val="2"/>
          </rPr>
          <t xml:space="preserve">
Kostnader for oljer og smøremidler: Estimerte kostnader per produktive maskintime for kjedeolje, motorolje, hydraulikkolje, grease etc, gitt som prosent av drivstoffkostnadene for basmaskinen. Om ikke sikre erfaringstall foreligger kan følgende verdier benyttes: 
Holzleitner 2011: Hogstmaskin: 12,6 %, Lassbærer: 7,9 %
Holzleitner 2011, Utilization Rates and Cost Factors in Timber Harvesting Based on Long-term Machine Data. http://hrcak.srce.hr/index.php?show=clanak&amp;id_clanak_jezik=108152
</t>
        </r>
      </text>
    </comment>
    <comment ref="A32" authorId="0">
      <text>
        <r>
          <rPr>
            <b/>
            <sz val="8"/>
            <color indexed="81"/>
            <rFont val="Tahoma"/>
            <family val="2"/>
          </rPr>
          <t>Helmer Belbo:</t>
        </r>
        <r>
          <rPr>
            <sz val="8"/>
            <color indexed="81"/>
            <rFont val="Tahoma"/>
            <family val="2"/>
          </rPr>
          <t xml:space="preserve">
% av anskaffelseskostnaden gjennom maskinens avskrivningstid</t>
        </r>
      </text>
    </comment>
    <comment ref="A33" authorId="0">
      <text>
        <r>
          <rPr>
            <b/>
            <sz val="8"/>
            <color indexed="81"/>
            <rFont val="Tahoma"/>
            <family val="2"/>
          </rPr>
          <t>Helmer Belbo:</t>
        </r>
        <r>
          <rPr>
            <sz val="8"/>
            <color indexed="81"/>
            <rFont val="Tahoma"/>
            <family val="2"/>
          </rPr>
          <t xml:space="preserve">
% av anskaffelseskostnaden gjennom maskinens avskrivningstid</t>
        </r>
      </text>
    </comment>
    <comment ref="A34" authorId="0">
      <text>
        <r>
          <rPr>
            <b/>
            <sz val="8"/>
            <color indexed="81"/>
            <rFont val="Tahoma"/>
            <family val="2"/>
          </rPr>
          <t>Helmer Belbo:</t>
        </r>
        <r>
          <rPr>
            <sz val="8"/>
            <color indexed="81"/>
            <rFont val="Tahoma"/>
            <family val="2"/>
          </rPr>
          <t xml:space="preserve">
Om det foreligger pålitelige erfaringstall kan disse benyttes her</t>
        </r>
      </text>
    </comment>
    <comment ref="A35" authorId="0">
      <text>
        <r>
          <rPr>
            <b/>
            <sz val="8"/>
            <color indexed="81"/>
            <rFont val="Tahoma"/>
            <family val="2"/>
          </rPr>
          <t>Helmer Belbo:</t>
        </r>
        <r>
          <rPr>
            <sz val="8"/>
            <color indexed="81"/>
            <rFont val="Tahoma"/>
            <family val="2"/>
          </rPr>
          <t xml:space="preserve">
Om det foreligger pålitelige erfaringstall kan disse benyttes her</t>
        </r>
      </text>
    </comment>
    <comment ref="A40" authorId="0">
      <text>
        <r>
          <rPr>
            <b/>
            <sz val="8"/>
            <color indexed="81"/>
            <rFont val="Tahoma"/>
            <family val="2"/>
          </rPr>
          <t>Helmer Belbo:</t>
        </r>
        <r>
          <rPr>
            <sz val="8"/>
            <color indexed="81"/>
            <rFont val="Tahoma"/>
            <family val="2"/>
          </rPr>
          <t xml:space="preserve">
Gjennomsnittelig kostnad for flytting av maskin, øvrig utstyr og personell mellom ulike hogstobjekt, utenom lønnskostnader for tapt arbeidstid for maskinoperatør. Merk at det er gjennomsnittlig kostnad per hogstobjekt. Dvs at om forflytning med maskintralle koster kr 6000, og at en for hver forflytning avvirker tre hogstobjekt, blir snittkostnaden kr 2000.</t>
        </r>
      </text>
    </comment>
    <comment ref="A43" authorId="0">
      <text>
        <r>
          <rPr>
            <b/>
            <sz val="8"/>
            <color indexed="81"/>
            <rFont val="Tahoma"/>
            <family val="2"/>
          </rPr>
          <t xml:space="preserve">Helmer Belbo: 
</t>
        </r>
        <r>
          <rPr>
            <sz val="8"/>
            <color indexed="81"/>
            <rFont val="Tahoma"/>
            <family val="2"/>
          </rPr>
          <t xml:space="preserve">Kan være forskjellig fra maskinarbeidstid om operatøren gjør annet forefallende arbeid (utenom arbeid på / i maskinen) før eller etter sitt skift
</t>
        </r>
      </text>
    </comment>
    <comment ref="A44" authorId="0">
      <text>
        <r>
          <rPr>
            <b/>
            <sz val="8"/>
            <color indexed="81"/>
            <rFont val="Tahoma"/>
            <family val="2"/>
          </rPr>
          <t>Helmer Belbo:</t>
        </r>
        <r>
          <rPr>
            <sz val="8"/>
            <color indexed="81"/>
            <rFont val="Tahoma"/>
            <family val="2"/>
          </rPr>
          <t xml:space="preserve">
Inkluderer grunnlønn og eventuelle tillegg, samt feriepenger</t>
        </r>
      </text>
    </comment>
    <comment ref="A47" authorId="0">
      <text>
        <r>
          <rPr>
            <b/>
            <sz val="8"/>
            <color indexed="81"/>
            <rFont val="Tahoma"/>
            <family val="2"/>
          </rPr>
          <t>Helmer Belbo:</t>
        </r>
        <r>
          <rPr>
            <sz val="8"/>
            <color indexed="81"/>
            <rFont val="Tahoma"/>
            <family val="2"/>
          </rPr>
          <t xml:space="preserve">
yrkesskadeforsikring, kursing, værneutstyr, telefon</t>
        </r>
      </text>
    </comment>
    <comment ref="A54" authorId="1">
      <text>
        <r>
          <rPr>
            <b/>
            <sz val="8"/>
            <color rgb="FF000000"/>
            <rFont val="Tahoma"/>
            <family val="2"/>
          </rPr>
          <t>Helmer Belbo:</t>
        </r>
        <r>
          <rPr>
            <sz val="8"/>
            <color rgb="FF000000"/>
            <rFont val="Tahoma"/>
            <family val="2"/>
          </rPr>
          <t xml:space="preserve">
MU er et mål på maskinutnyttelsesgraden. Tidsforbruk til maskinforflytning mellom ulike oppdrag er holdt utenom MU. Angis i prosent</t>
        </r>
      </text>
    </comment>
    <comment ref="A71"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72" authorId="0">
      <text>
        <r>
          <rPr>
            <b/>
            <sz val="8"/>
            <color indexed="81"/>
            <rFont val="Tahoma"/>
            <family val="2"/>
          </rPr>
          <t>Helmer Belbo:</t>
        </r>
        <r>
          <rPr>
            <sz val="8"/>
            <color indexed="81"/>
            <rFont val="Tahoma"/>
            <family val="2"/>
          </rPr>
          <t xml:space="preserve">
Estimeres ved formelen I = rente * ((kjøpsverdi * (levetid  +1) +  salgsverdi * (levetid  - 1)) / ( 2 * levetid)
Kilde: Sundberg &amp; Silversides (1988), Operational Efficiency in Forestry Volume 1: Analysis. Kluwer Academic Publischers. ISBN 90-247-3683-8</t>
        </r>
      </text>
    </comment>
    <comment ref="A109"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114" authorId="1">
      <text>
        <r>
          <rPr>
            <b/>
            <sz val="8"/>
            <color rgb="FF000000"/>
            <rFont val="Tahoma"/>
            <family val="2"/>
          </rPr>
          <t>Henrik von Hofsten:</t>
        </r>
        <r>
          <rPr>
            <sz val="8"/>
            <color rgb="FF000000"/>
            <rFont val="Tahoma"/>
            <family val="2"/>
          </rPr>
          <t xml:space="preserve">
Den tid maskinen inte producerar p.g.a. flyyttning. Inklusive på-/avplockning av slirskydd, koppling av koja m.m.</t>
        </r>
      </text>
    </comment>
  </commentList>
</comments>
</file>

<file path=xl/comments6.xml><?xml version="1.0" encoding="utf-8"?>
<comments xmlns="http://schemas.openxmlformats.org/spreadsheetml/2006/main">
  <authors>
    <author>Helmer Belbo</author>
    <author>Henrik von Hofsten</author>
  </authors>
  <commentList>
    <comment ref="A7" authorId="0">
      <text>
        <r>
          <rPr>
            <b/>
            <sz val="9"/>
            <color indexed="81"/>
            <rFont val="Tahoma"/>
            <family val="2"/>
          </rPr>
          <t>Helmer Belbo:</t>
        </r>
        <r>
          <rPr>
            <sz val="9"/>
            <color indexed="81"/>
            <rFont val="Tahoma"/>
            <family val="2"/>
          </rPr>
          <t xml:space="preserve">
Typisk: Egen motor for drift av flishoggeren</t>
        </r>
      </text>
    </comment>
    <comment ref="A13" authorId="0">
      <text>
        <r>
          <rPr>
            <b/>
            <sz val="8"/>
            <color indexed="81"/>
            <rFont val="Tahoma"/>
            <family val="2"/>
          </rPr>
          <t>Helmer Belbo:</t>
        </r>
        <r>
          <rPr>
            <sz val="8"/>
            <color indexed="81"/>
            <rFont val="Tahoma"/>
            <family val="2"/>
          </rPr>
          <t xml:space="preserve">
Totale maskintimer, dvs antall timer maskinen er bemannet, inklusive tid til flytting, matpauser, reparasjon, planlegging, klargjøring før og etter drift, andre driftsavbrudd</t>
        </r>
      </text>
    </comment>
    <comment ref="A18" authorId="1">
      <text>
        <r>
          <rPr>
            <sz val="8"/>
            <color rgb="FF000000"/>
            <rFont val="Tahoma"/>
            <family val="2"/>
          </rPr>
          <t xml:space="preserve">Merk at avskrivningstiden ofte påvirkes av årlig driftstid. </t>
        </r>
      </text>
    </comment>
    <comment ref="A20" authorId="1">
      <text>
        <r>
          <rPr>
            <sz val="8"/>
            <color rgb="FF000000"/>
            <rFont val="Tahoma"/>
            <family val="2"/>
          </rPr>
          <t>Restverdien er relatert til avskrivningstiden og antall driftstimer. Ved 10 års avskrivningstid og 1500 PMh per år er restverdien typisk 20 % for hogstmaskin og 25 % for lassbærer. En spesialmaskin (som terrengflishogger) har trolig lavere restverdi enn en allroundmaskin (lassbærer).</t>
        </r>
      </text>
    </comment>
    <comment ref="A26" authorId="0">
      <text>
        <r>
          <rPr>
            <b/>
            <sz val="8"/>
            <color indexed="81"/>
            <rFont val="Tahoma"/>
            <family val="2"/>
          </rPr>
          <t>Helmer Belbo:</t>
        </r>
        <r>
          <rPr>
            <sz val="8"/>
            <color indexed="81"/>
            <rFont val="Tahoma"/>
            <family val="2"/>
          </rPr>
          <t xml:space="preserve">
Om det ikke foreliggre egne sikre erfaringstall, kan følgende fremgangsmåte benyttes for å estimere dieselforbruket. 
En motor som yter full effekt bruker, med lite avvik, 0,267 liter diesel per kWh. Dieselforbruket (liter per maskintime) estimeres med:
0.267 * Oppgitt nominell motoreffekt (kW) * lastfaktor. Lastfaktoren kan generelt bli kategorisert som følger:
80% = svært tungt arbeid
60% = tungt arbeid
40% = over normalt tungt arbeid
29-30% = Vanlig arbeidsbelastning for de fleste maskiner (anlegg)
Studie av skogsmaskiner: Holzleitner 2011, Utilization Rates and Cost Factors in Timber Harvesting Based on Long-term Machine Data. http://hrcak.srce.hr/index.php?show=clanak&amp;id_clanak_jezik=108152
Hogstmaskinr: 0,095 l/kW PMH15 =&gt; lastfaktor = 0.356
Lassbærer: 0,098 l/kW PMH15 =&gt; lastfaktor = 0.367 
Eksempel 150 kW hogstmaskin: 0,267 * 150 * 0.356 = 14,2 liter / time (gjelder effektive driftstimer)</t>
        </r>
      </text>
    </comment>
    <comment ref="A27" authorId="0">
      <text>
        <r>
          <rPr>
            <b/>
            <sz val="9"/>
            <color indexed="81"/>
            <rFont val="Tahoma"/>
            <family val="2"/>
          </rPr>
          <t>Helmer Belbo:</t>
        </r>
        <r>
          <rPr>
            <sz val="9"/>
            <color indexed="81"/>
            <rFont val="Tahoma"/>
            <family val="2"/>
          </rPr>
          <t xml:space="preserve">
Hvis du vil bruke andre tall enn beregnet dieselforbruk må forbruket skrives inn i denne raden</t>
        </r>
      </text>
    </comment>
    <comment ref="A28" authorId="0">
      <text>
        <r>
          <rPr>
            <b/>
            <sz val="8"/>
            <color indexed="81"/>
            <rFont val="Tahoma"/>
            <family val="2"/>
          </rPr>
          <t>Helmer Belbo:</t>
        </r>
        <r>
          <rPr>
            <sz val="8"/>
            <color indexed="81"/>
            <rFont val="Tahoma"/>
            <family val="2"/>
          </rPr>
          <t xml:space="preserve">
Kostnader for oljer og smøremidler: Estimerte kostnader per produktive maskintime for kjedeolje, motorolje, hydraulikkolje, grease etc, gitt som prosent av drivstoffkostnadene for basmaskinen. Om ikke sikre erfaringstall foreligger kan følgende verdier benyttes: 
Holzleitner 2011: Hogstmaskin: 12,6 %, Lassbærer: 7,9 %
Holzleitner 2011, Utilization Rates and Cost Factors in Timber Harvesting Based on Long-term Machine Data. http://hrcak.srce.hr/index.php?show=clanak&amp;id_clanak_jezik=108152
</t>
        </r>
      </text>
    </comment>
    <comment ref="A29" authorId="0">
      <text>
        <r>
          <rPr>
            <b/>
            <sz val="8"/>
            <color indexed="81"/>
            <rFont val="Tahoma"/>
            <family val="2"/>
          </rPr>
          <t>Helmer Belbo:</t>
        </r>
        <r>
          <rPr>
            <sz val="8"/>
            <color indexed="81"/>
            <rFont val="Tahoma"/>
            <family val="2"/>
          </rPr>
          <t xml:space="preserve">
% av anskaffelseskostnaden gjennom maskinens avskrivningstid</t>
        </r>
      </text>
    </comment>
    <comment ref="A30" authorId="0">
      <text>
        <r>
          <rPr>
            <b/>
            <sz val="8"/>
            <color indexed="81"/>
            <rFont val="Tahoma"/>
            <family val="2"/>
          </rPr>
          <t>Helmer Belbo:</t>
        </r>
        <r>
          <rPr>
            <sz val="8"/>
            <color indexed="81"/>
            <rFont val="Tahoma"/>
            <family val="2"/>
          </rPr>
          <t xml:space="preserve">
% av anskaffelseskostnaden gjennom maskinens avskrivningstid</t>
        </r>
      </text>
    </comment>
    <comment ref="A31" authorId="0">
      <text>
        <r>
          <rPr>
            <b/>
            <sz val="8"/>
            <color indexed="81"/>
            <rFont val="Tahoma"/>
            <family val="2"/>
          </rPr>
          <t>Helmer Belbo:</t>
        </r>
        <r>
          <rPr>
            <sz val="8"/>
            <color indexed="81"/>
            <rFont val="Tahoma"/>
            <family val="2"/>
          </rPr>
          <t xml:space="preserve">
Om det foreligger pålitelige erfaringstall kan disse benyttes her</t>
        </r>
      </text>
    </comment>
    <comment ref="A32" authorId="0">
      <text>
        <r>
          <rPr>
            <b/>
            <sz val="8"/>
            <color indexed="81"/>
            <rFont val="Tahoma"/>
            <family val="2"/>
          </rPr>
          <t>Helmer Belbo:</t>
        </r>
        <r>
          <rPr>
            <sz val="8"/>
            <color indexed="81"/>
            <rFont val="Tahoma"/>
            <family val="2"/>
          </rPr>
          <t xml:space="preserve">
Om det foreligger pålitelige erfaringstall kan disse benyttes her</t>
        </r>
      </text>
    </comment>
    <comment ref="A36" authorId="0">
      <text>
        <r>
          <rPr>
            <b/>
            <sz val="8"/>
            <color indexed="81"/>
            <rFont val="Tahoma"/>
            <family val="2"/>
          </rPr>
          <t>Helmer Belbo:</t>
        </r>
        <r>
          <rPr>
            <sz val="8"/>
            <color indexed="81"/>
            <rFont val="Tahoma"/>
            <family val="2"/>
          </rPr>
          <t xml:space="preserve">
Merk at det er levetid i PMh15 for maskinen totalt som teller her, dvs om beltene er påmontert 50 % av tiden, og levetiden på beltene i seg selv er 5000 timer, settes levetiden til 10 000 PMH15 i denne kalkylen</t>
        </r>
      </text>
    </comment>
    <comment ref="A46" authorId="0">
      <text>
        <r>
          <rPr>
            <b/>
            <sz val="8"/>
            <color indexed="81"/>
            <rFont val="Tahoma"/>
            <family val="2"/>
          </rPr>
          <t>Helmer Belbo:</t>
        </r>
        <r>
          <rPr>
            <sz val="8"/>
            <color indexed="81"/>
            <rFont val="Tahoma"/>
            <family val="2"/>
          </rPr>
          <t xml:space="preserve">
Gjennomsnittelig kostnad for flytting av maskin, øvrig utstyr og personell mellom ulike hogstobjekt, utenom lønnskostnader for tapt arbeidstid for maskinoperatør. Merk at det er gjennomsnittlig kostnad per hogstobjekt. Dvs at om forflytning med maskintralle koster kr 6000, og at en for hver forflytning avvirker tre hogstobjekt, blir snittkostnaden kr 2000.</t>
        </r>
      </text>
    </comment>
    <comment ref="A50" authorId="0">
      <text>
        <r>
          <rPr>
            <b/>
            <sz val="8"/>
            <color indexed="81"/>
            <rFont val="Tahoma"/>
            <family val="2"/>
          </rPr>
          <t xml:space="preserve">Helmer Belbo: 
</t>
        </r>
        <r>
          <rPr>
            <sz val="8"/>
            <color indexed="81"/>
            <rFont val="Tahoma"/>
            <family val="2"/>
          </rPr>
          <t xml:space="preserve">Kan være forskjellig fra maskinarbeidstid om operatøren gjør annet forefallende arbeid (utenom arbeid på / i maskinen) før eller etter sitt skift
</t>
        </r>
      </text>
    </comment>
    <comment ref="A51" authorId="0">
      <text>
        <r>
          <rPr>
            <b/>
            <sz val="8"/>
            <color indexed="81"/>
            <rFont val="Tahoma"/>
            <family val="2"/>
          </rPr>
          <t>Helmer Belbo:</t>
        </r>
        <r>
          <rPr>
            <sz val="8"/>
            <color indexed="81"/>
            <rFont val="Tahoma"/>
            <family val="2"/>
          </rPr>
          <t xml:space="preserve">
Inkluderer grunnlønn og eventuelle tillegg, samt feriepenger</t>
        </r>
      </text>
    </comment>
    <comment ref="A54" authorId="0">
      <text>
        <r>
          <rPr>
            <b/>
            <sz val="8"/>
            <color indexed="81"/>
            <rFont val="Tahoma"/>
            <family val="2"/>
          </rPr>
          <t>Helmer Belbo:</t>
        </r>
        <r>
          <rPr>
            <sz val="8"/>
            <color indexed="81"/>
            <rFont val="Tahoma"/>
            <family val="2"/>
          </rPr>
          <t xml:space="preserve">
yrkesskadeforsikring, kursing, værneutstyr, telefon</t>
        </r>
      </text>
    </comment>
    <comment ref="A59" authorId="0">
      <text>
        <r>
          <rPr>
            <b/>
            <sz val="8"/>
            <color indexed="81"/>
            <rFont val="Tahoma"/>
            <family val="2"/>
          </rPr>
          <t>Helmer Belbo:</t>
        </r>
        <r>
          <rPr>
            <sz val="8"/>
            <color indexed="81"/>
            <rFont val="Tahoma"/>
            <family val="2"/>
          </rPr>
          <t xml:space="preserve">
Tidsforbrukmodell flishogging fra: Spinelli, R., &amp; Hartsough, B. (2001). A survey of Italian chipping operations. Biomass &amp; Bioenergy, 21, 433-444. Modellen gir tid per tonn, her omgjort til tid per m3 ved omregningsfaktor 0,7 tonn / m3
Tidsforbruk bunting fra: Belbo, H., Kjøstelsen, L. 2012. Bunting av vegkantvirke - produktivitet og økonomi. Rapport fra Skog og landskap 1/2012
</t>
        </r>
      </text>
    </comment>
    <comment ref="A61" authorId="0">
      <text>
        <r>
          <rPr>
            <b/>
            <sz val="9"/>
            <color indexed="81"/>
            <rFont val="Tahoma"/>
            <family val="2"/>
          </rPr>
          <t>Helmer Belbo:</t>
        </r>
        <r>
          <rPr>
            <sz val="9"/>
            <color indexed="81"/>
            <rFont val="Tahoma"/>
            <family val="2"/>
          </rPr>
          <t xml:space="preserve">
Her lages en individuell beregning. Eksempelet "Flishugger terreng" beskriver tidsforbruket til skytteltransport av flis mellom lunneplass og vegkant. </t>
        </r>
      </text>
    </comment>
    <comment ref="A63" authorId="1">
      <text>
        <r>
          <rPr>
            <b/>
            <sz val="8"/>
            <color rgb="FF000000"/>
            <rFont val="Tahoma"/>
            <family val="2"/>
          </rPr>
          <t>Helmer Belbo:</t>
        </r>
        <r>
          <rPr>
            <sz val="8"/>
            <color rgb="FF000000"/>
            <rFont val="Tahoma"/>
            <family val="2"/>
          </rPr>
          <t xml:space="preserve">
MU er et mål på maskinutnyttelsesgraden. Tidsforbruk til maskinforflytning mellom ulike oppdrag er holdt utenom MU. Angis i prosent. Kan bli lav i forsyningskjeder hvor to aktører er gjensidig avhengig av hverandre for å kunne operere, for eksempel hvor flishogger og lastebil til en hver tid er gjensidig avhengig av hverandre for å kunne jobbe. </t>
        </r>
      </text>
    </comment>
  </commentList>
</comments>
</file>

<file path=xl/comments7.xml><?xml version="1.0" encoding="utf-8"?>
<comments xmlns="http://schemas.openxmlformats.org/spreadsheetml/2006/main">
  <authors>
    <author>Helmer Belbo</author>
  </authors>
  <commentList>
    <comment ref="A14" authorId="0">
      <text>
        <r>
          <rPr>
            <b/>
            <sz val="8"/>
            <color indexed="81"/>
            <rFont val="Tahoma"/>
            <family val="2"/>
          </rPr>
          <t>Helmer Belbo:</t>
        </r>
        <r>
          <rPr>
            <sz val="8"/>
            <color indexed="81"/>
            <rFont val="Tahoma"/>
            <family val="2"/>
          </rPr>
          <t xml:space="preserve">
Totale maskintimer, dvs antall timer maskinen er bemannet, inklusive tid til flytting, matpauser, reparasjon, planlegging, klargjøring før og etter drift, andre driftsavbrudd</t>
        </r>
      </text>
    </comment>
    <comment ref="A23" authorId="0">
      <text>
        <r>
          <rPr>
            <b/>
            <sz val="8"/>
            <color indexed="81"/>
            <rFont val="Tahoma"/>
            <family val="2"/>
          </rPr>
          <t>Helmer Belbo:</t>
        </r>
        <r>
          <rPr>
            <sz val="8"/>
            <color indexed="81"/>
            <rFont val="Tahoma"/>
            <family val="2"/>
          </rPr>
          <t xml:space="preserve">
Angir tidsforbruk som er uavhengig av lass-størrelsen, dvs rigging, hekte container av og på bilen, lastsikring, eventuell lassmåling, veiing og prøvetaking, lasstipping</t>
        </r>
      </text>
    </comment>
    <comment ref="A24" authorId="0">
      <text>
        <r>
          <rPr>
            <b/>
            <sz val="8"/>
            <color indexed="81"/>
            <rFont val="Tahoma"/>
            <family val="2"/>
          </rPr>
          <t>Helmer Belbo:</t>
        </r>
        <r>
          <rPr>
            <sz val="8"/>
            <color indexed="81"/>
            <rFont val="Tahoma"/>
            <family val="2"/>
          </rPr>
          <t xml:space="preserve">
Angir tidsforbruk som knyttes til lassmengden. Eksempel: Totalt tidsforbruk for lessing med kran eller hjullaster øker med økende lass-mengde. </t>
        </r>
      </text>
    </comment>
    <comment ref="A25" authorId="0">
      <text>
        <r>
          <rPr>
            <b/>
            <sz val="8"/>
            <color indexed="81"/>
            <rFont val="Tahoma"/>
            <family val="2"/>
          </rPr>
          <t>Helmer Belbo:</t>
        </r>
        <r>
          <rPr>
            <sz val="8"/>
            <color indexed="81"/>
            <rFont val="Tahoma"/>
            <family val="2"/>
          </rPr>
          <t xml:space="preserve">
Ranta, T., &amp; Rinne, S. (2006). The profitability of transporting uncomminuted raw materials in Finland. Biomass and Bioenergy, 30(3), 231-237.</t>
        </r>
      </text>
    </comment>
    <comment ref="A48"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49" authorId="0">
      <text>
        <r>
          <rPr>
            <b/>
            <sz val="8"/>
            <color indexed="81"/>
            <rFont val="Tahoma"/>
            <family val="2"/>
          </rPr>
          <t>Helmer Belbo:</t>
        </r>
        <r>
          <rPr>
            <sz val="8"/>
            <color indexed="81"/>
            <rFont val="Tahoma"/>
            <family val="2"/>
          </rPr>
          <t xml:space="preserve">
Estimeres ved formelen I = rente * ((kjøpsverdi * (levetid  +1) +  salgsverdi * (levetid  - 1)) / ( 2 * levetid)
Kilde: Sundberg &amp; Silversides (1988), Operational Efficiency in Forestry Volume 1: Analysis. Kluwer Academic Publischers. ISBN 90-247-3683-8</t>
        </r>
      </text>
    </comment>
    <comment ref="A54"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60"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List>
</comments>
</file>

<file path=xl/comments8.xml><?xml version="1.0" encoding="utf-8"?>
<comments xmlns="http://schemas.openxmlformats.org/spreadsheetml/2006/main">
  <authors>
    <author>Helmer Belbo</author>
    <author>Henrik von Hofsten</author>
  </authors>
  <commentList>
    <comment ref="A6" authorId="0">
      <text>
        <r>
          <rPr>
            <b/>
            <sz val="8"/>
            <color indexed="81"/>
            <rFont val="Tahoma"/>
            <family val="2"/>
          </rPr>
          <t>Helmer Belbo:</t>
        </r>
        <r>
          <rPr>
            <sz val="8"/>
            <color indexed="81"/>
            <rFont val="Tahoma"/>
            <family val="2"/>
          </rPr>
          <t xml:space="preserve">
Angi effekten inn på akseltapp på flishoggeren, uavhengig av om den er drevet av traktor, lastebil eller egen motor</t>
        </r>
      </text>
    </comment>
    <comment ref="A12" authorId="0">
      <text>
        <r>
          <rPr>
            <b/>
            <sz val="8"/>
            <color indexed="81"/>
            <rFont val="Tahoma"/>
            <family val="2"/>
          </rPr>
          <t>Helmer Belbo:</t>
        </r>
        <r>
          <rPr>
            <sz val="8"/>
            <color indexed="81"/>
            <rFont val="Tahoma"/>
            <family val="2"/>
          </rPr>
          <t xml:space="preserve">
Totale maskintimer, dvs antall timer maskinen er bemannet, inklusive tid til flytting, matpauser, reparasjon, planlegging, klargjøring før og etter drift, andre driftsavbrudd</t>
        </r>
      </text>
    </comment>
    <comment ref="A17" authorId="1">
      <text>
        <r>
          <rPr>
            <sz val="8"/>
            <color rgb="FF000000"/>
            <rFont val="Tahoma"/>
            <family val="2"/>
          </rPr>
          <t xml:space="preserve">Merk at avskrivningstiden ofte påvirkes av årlig driftstid. </t>
        </r>
      </text>
    </comment>
    <comment ref="A19" authorId="1">
      <text>
        <r>
          <rPr>
            <sz val="8"/>
            <color rgb="FF000000"/>
            <rFont val="Tahoma"/>
            <family val="2"/>
          </rPr>
          <t>Restverdien er relatert til avskrivningstiden og antall driftstimer. Ved 10 års avskrivningstid og 1500 PMh per år er restverdien typisk 20 % for hogstmaskin og 25 % for lassbærer. En spesialmaskin (som terrengflishogger) har trolig lavere restverdi enn en allroundmaskin (lassbærer).</t>
        </r>
      </text>
    </comment>
    <comment ref="A25" authorId="0">
      <text>
        <r>
          <rPr>
            <b/>
            <sz val="9"/>
            <color indexed="81"/>
            <rFont val="Tahoma"/>
            <family val="2"/>
          </rPr>
          <t>Helmer Belbo:</t>
        </r>
        <r>
          <rPr>
            <sz val="9"/>
            <color indexed="81"/>
            <rFont val="Tahoma"/>
            <family val="2"/>
          </rPr>
          <t xml:space="preserve">
Om det ikke foreliggre egne sikre erfaringstall, kan følgende fremgangsmåte benyttes for å estimere dieselforbruket. 
En motor som yter full effekt bruker, med lite avvik, 0,267 liter diesel per kWh. Dieselforbruket (liter per maskintime) estimeres med:
0.267 * Oppgitt nominell motoreffekt (kW) * lastfaktor. Lastfaktoren kan generelt bli kategorisert som følger:
80% = svært tungt arbeid
60% = tungt arbeid
40% = over normalt tungt arbeid
29-30% = Vanlig arbeidsbelastning for de fleste maskiner (anlegg)
Studie av skogsmaskiner: Holzleitner 2011, Utilization Rates and Cost Factors in Timber Harvesting Based on Long-term Machine Data. http://hrcak.srce.hr/index.php?show=clanak&amp;id_clanak_jezik=108152
Hogstmaskinr: 0,095 l/kW PMH15 =&gt; lastfaktor = 0.356
Lassbærer: 0,098 l/kW PMH15 =&gt; lastfaktor = 0.367 
Eksempel 150 kW hogstmaskin: 0,267 * 150 * 0.356 = 14,2 liter / time (gjelder effektive driftstimer)</t>
        </r>
      </text>
    </comment>
    <comment ref="A26" authorId="0">
      <text>
        <r>
          <rPr>
            <b/>
            <sz val="9"/>
            <color indexed="81"/>
            <rFont val="Tahoma"/>
            <family val="2"/>
          </rPr>
          <t>Helmer Belbo:</t>
        </r>
        <r>
          <rPr>
            <sz val="9"/>
            <color indexed="81"/>
            <rFont val="Tahoma"/>
            <family val="2"/>
          </rPr>
          <t xml:space="preserve">
En motor som yter full effekt bruker, med lite avvik, 0,267 liter diesel per kWh. Dieselforbruket (liter per maskintime) estimeres med:
0.267 * Oppgitt nominell motoreffekt (kW) * lastfaktor.</t>
        </r>
      </text>
    </comment>
    <comment ref="A27" authorId="0">
      <text>
        <r>
          <rPr>
            <b/>
            <sz val="9"/>
            <color indexed="81"/>
            <rFont val="Tahoma"/>
            <family val="2"/>
          </rPr>
          <t>Helmer Belbo:</t>
        </r>
        <r>
          <rPr>
            <sz val="9"/>
            <color indexed="81"/>
            <rFont val="Tahoma"/>
            <family val="2"/>
          </rPr>
          <t xml:space="preserve">
Dette er det som er benyttet i videre kalkyler. Sett inn egne erfaringstall om du ikke har tro på beregnet forbruk i raden over. </t>
        </r>
      </text>
    </comment>
    <comment ref="A28" authorId="0">
      <text>
        <r>
          <rPr>
            <b/>
            <sz val="8"/>
            <color indexed="81"/>
            <rFont val="Tahoma"/>
            <family val="2"/>
          </rPr>
          <t>Helmer Belbo:</t>
        </r>
        <r>
          <rPr>
            <sz val="8"/>
            <color indexed="81"/>
            <rFont val="Tahoma"/>
            <family val="2"/>
          </rPr>
          <t xml:space="preserve">
Kostnader for oljer og smøremidler: Estimerte kostnader per produktive maskintime for kjedeolje, motorolje, hydraulikkolje, grease etc, gitt som prosent av drivstoffkostnadene for basmaskinen. Om ikke sikre erfaringstall foreligger kan følgende verdier benyttes: 
Holzleitner 2011: Hogstmaskin: 12,6 %, Lassbærer: 7,9 %
Holzleitner 2011, Utilization Rates and Cost Factors in Timber Harvesting Based on Long-term Machine Data. http://hrcak.srce.hr/index.php?show=clanak&amp;id_clanak_jezik=108152
</t>
        </r>
      </text>
    </comment>
    <comment ref="A29" authorId="0">
      <text>
        <r>
          <rPr>
            <b/>
            <sz val="8"/>
            <color indexed="81"/>
            <rFont val="Tahoma"/>
            <family val="2"/>
          </rPr>
          <t>Helmer Belbo:</t>
        </r>
        <r>
          <rPr>
            <sz val="8"/>
            <color indexed="81"/>
            <rFont val="Tahoma"/>
            <family val="2"/>
          </rPr>
          <t xml:space="preserve">
% av anskaffelseskostnaden gjennom maskinens avskrivningstid</t>
        </r>
      </text>
    </comment>
    <comment ref="A30" authorId="0">
      <text>
        <r>
          <rPr>
            <b/>
            <sz val="8"/>
            <color indexed="81"/>
            <rFont val="Tahoma"/>
            <family val="2"/>
          </rPr>
          <t>Helmer Belbo:</t>
        </r>
        <r>
          <rPr>
            <sz val="8"/>
            <color indexed="81"/>
            <rFont val="Tahoma"/>
            <family val="2"/>
          </rPr>
          <t xml:space="preserve">
% av anskaffelseskostnaden gjennom maskinens avskrivningstid</t>
        </r>
      </text>
    </comment>
    <comment ref="A31" authorId="0">
      <text>
        <r>
          <rPr>
            <b/>
            <sz val="8"/>
            <color indexed="81"/>
            <rFont val="Tahoma"/>
            <family val="2"/>
          </rPr>
          <t>Helmer Belbo:</t>
        </r>
        <r>
          <rPr>
            <sz val="8"/>
            <color indexed="81"/>
            <rFont val="Tahoma"/>
            <family val="2"/>
          </rPr>
          <t xml:space="preserve">
Om det foreligger pålitelige erfaringstall kan disse benyttes her</t>
        </r>
      </text>
    </comment>
    <comment ref="A32" authorId="0">
      <text>
        <r>
          <rPr>
            <b/>
            <sz val="8"/>
            <color indexed="81"/>
            <rFont val="Tahoma"/>
            <family val="2"/>
          </rPr>
          <t>Helmer Belbo:</t>
        </r>
        <r>
          <rPr>
            <sz val="8"/>
            <color indexed="81"/>
            <rFont val="Tahoma"/>
            <family val="2"/>
          </rPr>
          <t xml:space="preserve">
Om det foreligger pålitelige erfaringstall kan disse benyttes her</t>
        </r>
      </text>
    </comment>
    <comment ref="A36" authorId="0">
      <text>
        <r>
          <rPr>
            <b/>
            <sz val="8"/>
            <color indexed="81"/>
            <rFont val="Tahoma"/>
            <family val="2"/>
          </rPr>
          <t>Helmer Belbo:</t>
        </r>
        <r>
          <rPr>
            <sz val="8"/>
            <color indexed="81"/>
            <rFont val="Tahoma"/>
            <family val="2"/>
          </rPr>
          <t xml:space="preserve">
Merk at det er levetid i PMh15 for maskinen totalt som teller her, dvs om beltene er påmontert 50 % av tiden, og levetiden på beltene i seg selv er 5000 timer, settes levetiden til 10 000 PMH15 i denne kalkylen</t>
        </r>
      </text>
    </comment>
    <comment ref="A46" authorId="0">
      <text>
        <r>
          <rPr>
            <b/>
            <sz val="8"/>
            <color indexed="81"/>
            <rFont val="Tahoma"/>
            <family val="2"/>
          </rPr>
          <t>Helmer Belbo:</t>
        </r>
        <r>
          <rPr>
            <sz val="8"/>
            <color indexed="81"/>
            <rFont val="Tahoma"/>
            <family val="2"/>
          </rPr>
          <t xml:space="preserve">
Gjennomsnittelig kostnad for flytting av maskin, øvrig utstyr og personell mellom ulike hogstobjekt, samt administrasjon rundt hvert oppdrag (planlegging, fakturering). Lønnskostnader for tapt arbeidstid for maskinoperatør beregnes for seg et annet sted. </t>
        </r>
      </text>
    </comment>
    <comment ref="A50" authorId="0">
      <text>
        <r>
          <rPr>
            <b/>
            <sz val="8"/>
            <color indexed="81"/>
            <rFont val="Tahoma"/>
            <family val="2"/>
          </rPr>
          <t xml:space="preserve">Helmer Belbo: 
</t>
        </r>
        <r>
          <rPr>
            <sz val="8"/>
            <color indexed="81"/>
            <rFont val="Tahoma"/>
            <family val="2"/>
          </rPr>
          <t xml:space="preserve">Kan være forskjellig fra maskinarbeidstid om operatøren gjør annet forefallende arbeid (utenom arbeid på / i maskinen) før eller etter sitt skift
</t>
        </r>
      </text>
    </comment>
    <comment ref="A51" authorId="0">
      <text>
        <r>
          <rPr>
            <b/>
            <sz val="8"/>
            <color indexed="81"/>
            <rFont val="Tahoma"/>
            <family val="2"/>
          </rPr>
          <t>Helmer Belbo:</t>
        </r>
        <r>
          <rPr>
            <sz val="8"/>
            <color indexed="81"/>
            <rFont val="Tahoma"/>
            <family val="2"/>
          </rPr>
          <t xml:space="preserve">
Inkluderer grunnlønn og eventuelle tillegg, samt feriepenger</t>
        </r>
      </text>
    </comment>
    <comment ref="A54" authorId="0">
      <text>
        <r>
          <rPr>
            <b/>
            <sz val="8"/>
            <color indexed="81"/>
            <rFont val="Tahoma"/>
            <family val="2"/>
          </rPr>
          <t>Helmer Belbo:</t>
        </r>
        <r>
          <rPr>
            <sz val="8"/>
            <color indexed="81"/>
            <rFont val="Tahoma"/>
            <family val="2"/>
          </rPr>
          <t xml:space="preserve">
yrkesskadeforsikring, kursing, værneutstyr, telefon</t>
        </r>
      </text>
    </comment>
    <comment ref="A58" authorId="0">
      <text>
        <r>
          <rPr>
            <b/>
            <sz val="8"/>
            <color indexed="81"/>
            <rFont val="Tahoma"/>
            <family val="2"/>
          </rPr>
          <t>Helmer Belbo:</t>
        </r>
        <r>
          <rPr>
            <sz val="8"/>
            <color indexed="81"/>
            <rFont val="Tahoma"/>
            <family val="2"/>
          </rPr>
          <t xml:space="preserve">
Tidsforbrukmodell flishogging fra: Spinelli, R., &amp; Hartsough, B. (2001). A survey of Italian chipping operations. Biomass &amp; Bioenergy, 21, 433-444.</t>
        </r>
      </text>
    </comment>
    <comment ref="A59" authorId="0">
      <text>
        <r>
          <rPr>
            <b/>
            <sz val="9"/>
            <color indexed="81"/>
            <rFont val="Tahoma"/>
            <family val="2"/>
          </rPr>
          <t>Helmer Belbo:</t>
        </r>
        <r>
          <rPr>
            <sz val="9"/>
            <color indexed="81"/>
            <rFont val="Tahoma"/>
            <family val="2"/>
          </rPr>
          <t xml:space="preserve">
Om du ikke tror på det estimerte tidsforbruket kan du legge inn andre tall her</t>
        </r>
      </text>
    </comment>
    <comment ref="A61" authorId="1">
      <text>
        <r>
          <rPr>
            <b/>
            <sz val="8"/>
            <color rgb="FF000000"/>
            <rFont val="Tahoma"/>
            <family val="2"/>
          </rPr>
          <t>Helmer Belbo:</t>
        </r>
        <r>
          <rPr>
            <sz val="8"/>
            <color rgb="FF000000"/>
            <rFont val="Tahoma"/>
            <family val="2"/>
          </rPr>
          <t xml:space="preserve">
MU er et mål på maskinutnyttelsesgraden. Tidsforbruk til maskinforflytning mellom ulike oppdrag er holdt utenom MU. Angis i prosent</t>
        </r>
      </text>
    </comment>
    <comment ref="A74"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75" authorId="0">
      <text>
        <r>
          <rPr>
            <b/>
            <sz val="8"/>
            <color indexed="81"/>
            <rFont val="Tahoma"/>
            <family val="2"/>
          </rPr>
          <t>Helmer Belbo:</t>
        </r>
        <r>
          <rPr>
            <sz val="8"/>
            <color indexed="81"/>
            <rFont val="Tahoma"/>
            <family val="2"/>
          </rPr>
          <t xml:space="preserve">
Estimeres ved formelen I = rente * ((kjøpsverdi * (levetid  +1) +  salgsverdi * (levetid  - 1)) / ( 2 * levetid)
Kilde: Sundberg &amp; Silversides (1988), Operational Efficiency in Forestry Volume 1: Analysis. Kluwer Academic Publischers. ISBN 90-247-3683-8</t>
        </r>
      </text>
    </comment>
    <comment ref="A79" authorId="1">
      <text>
        <r>
          <rPr>
            <b/>
            <sz val="8"/>
            <color rgb="FF000000"/>
            <rFont val="Tahoma"/>
            <family val="2"/>
          </rPr>
          <t>Henrik von Hofsten:</t>
        </r>
        <r>
          <rPr>
            <sz val="8"/>
            <color rgb="FF000000"/>
            <rFont val="Tahoma"/>
            <family val="2"/>
          </rPr>
          <t xml:space="preserve">
Den tid maskinen inte producerar p.g.a. flyyttning. Inklusive på-/avplockning av slirskydd, koppling av koja m.m.</t>
        </r>
      </text>
    </comment>
    <comment ref="A94"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99" authorId="1">
      <text>
        <r>
          <rPr>
            <b/>
            <sz val="8"/>
            <color rgb="FF000000"/>
            <rFont val="Tahoma"/>
            <family val="2"/>
          </rPr>
          <t>Henrik von Hofsten:</t>
        </r>
        <r>
          <rPr>
            <sz val="8"/>
            <color rgb="FF000000"/>
            <rFont val="Tahoma"/>
            <family val="2"/>
          </rPr>
          <t xml:space="preserve">
Den tid maskinen inte producerar p.g.a. flyyttning. Inklusive på-/avplockning av slirskydd, koppling av koja m.m.</t>
        </r>
      </text>
    </comment>
    <comment ref="A114"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119" authorId="1">
      <text>
        <r>
          <rPr>
            <b/>
            <sz val="8"/>
            <color rgb="FF000000"/>
            <rFont val="Tahoma"/>
            <family val="2"/>
          </rPr>
          <t>Henrik von Hofsten:</t>
        </r>
        <r>
          <rPr>
            <sz val="8"/>
            <color rgb="FF000000"/>
            <rFont val="Tahoma"/>
            <family val="2"/>
          </rPr>
          <t xml:space="preserve">
Den tid maskinen inte producerar p.g.a. flyyttning. Inklusive på-/avplockning av slirskydd, koppling av koja m.m.</t>
        </r>
      </text>
    </comment>
  </commentList>
</comments>
</file>

<file path=xl/comments9.xml><?xml version="1.0" encoding="utf-8"?>
<comments xmlns="http://schemas.openxmlformats.org/spreadsheetml/2006/main">
  <authors>
    <author>Helmer Belbo</author>
  </authors>
  <commentList>
    <comment ref="A13" authorId="0">
      <text>
        <r>
          <rPr>
            <b/>
            <sz val="8"/>
            <color indexed="81"/>
            <rFont val="Tahoma"/>
            <family val="2"/>
          </rPr>
          <t>Helmer Belbo:</t>
        </r>
        <r>
          <rPr>
            <sz val="8"/>
            <color indexed="81"/>
            <rFont val="Tahoma"/>
            <family val="2"/>
          </rPr>
          <t xml:space="preserve">
Totale maskintimer, dvs antall timer maskinen er bemannet, inklusive tid til flytting, matpauser, reparasjon, planlegging, klargjøring før og etter drift, andre driftsavbrudd</t>
        </r>
      </text>
    </comment>
    <comment ref="A22" authorId="0">
      <text>
        <r>
          <rPr>
            <b/>
            <sz val="8"/>
            <color indexed="81"/>
            <rFont val="Tahoma"/>
            <family val="2"/>
          </rPr>
          <t>Helmer Belbo:</t>
        </r>
        <r>
          <rPr>
            <sz val="8"/>
            <color indexed="81"/>
            <rFont val="Tahoma"/>
            <family val="2"/>
          </rPr>
          <t xml:space="preserve">
Angir tidsforbruk som er uavhengig av lass-størrelsen, dvs rigging, hekte container av og på bilen, lastsikring, eventuell lassmåling, veiing og prøvetaking, lasstipping</t>
        </r>
      </text>
    </comment>
    <comment ref="A23" authorId="0">
      <text>
        <r>
          <rPr>
            <b/>
            <sz val="8"/>
            <color indexed="81"/>
            <rFont val="Tahoma"/>
            <family val="2"/>
          </rPr>
          <t>Helmer Belbo:</t>
        </r>
        <r>
          <rPr>
            <sz val="8"/>
            <color indexed="81"/>
            <rFont val="Tahoma"/>
            <family val="2"/>
          </rPr>
          <t xml:space="preserve">
Angir tidsforbruk som knyttes til lassmengden. Eksempel: Totalt tidsforbruk for lessing med kran eller hjullaster øker med økende lass-mengde. </t>
        </r>
      </text>
    </comment>
    <comment ref="A46"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47" authorId="0">
      <text>
        <r>
          <rPr>
            <b/>
            <sz val="8"/>
            <color indexed="81"/>
            <rFont val="Tahoma"/>
            <family val="2"/>
          </rPr>
          <t>Helmer Belbo:</t>
        </r>
        <r>
          <rPr>
            <sz val="8"/>
            <color indexed="81"/>
            <rFont val="Tahoma"/>
            <family val="2"/>
          </rPr>
          <t xml:space="preserve">
Estimeres ved formelen I = rente * ((kjøpsverdi * (levetid  +1) +  salgsverdi * (levetid  - 1)) / ( 2 * levetid)
Kilde: Sundberg &amp; Silversides (1988), Operational Efficiency in Forestry Volume 1: Analysis. Kluwer Academic Publischers. ISBN 90-247-3683-8</t>
        </r>
      </text>
    </comment>
    <comment ref="A51"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 ref="A56" authorId="0">
      <text>
        <r>
          <rPr>
            <b/>
            <sz val="8"/>
            <color indexed="81"/>
            <rFont val="Tahoma"/>
            <family val="2"/>
          </rPr>
          <t>Helmer Belbo:</t>
        </r>
        <r>
          <rPr>
            <sz val="8"/>
            <color indexed="81"/>
            <rFont val="Tahoma"/>
            <family val="2"/>
          </rPr>
          <t xml:space="preserve">
Merk at dekk, belter og kjettinger regnes som en variabel kostnad og derfor ikke inngår i denne posten</t>
        </r>
      </text>
    </comment>
  </commentList>
</comments>
</file>

<file path=xl/comments10.xml><?xml version="1.0" encoding="utf-8"?>
<comments xmlns="http://schemas.openxmlformats.org/spreadsheetml/2006/main">
  <authors>
    <author>Helmer Belbo</author>
  </authors>
  <commentList>
    <comment ref="A9" authorId="0">
      <text>
        <r>
          <rPr>
            <b/>
            <sz val="9"/>
            <color indexed="81"/>
            <rFont val="Tahoma"/>
            <family val="2"/>
          </rPr>
          <t>Helmer Belbo:</t>
        </r>
        <r>
          <rPr>
            <sz val="9"/>
            <color indexed="81"/>
            <rFont val="Tahoma"/>
            <family val="2"/>
          </rPr>
          <t xml:space="preserve">
Angir hvor "fullt" lageret er i gjennomsnitt over året</t>
        </r>
      </text>
    </comment>
    <comment ref="A20" authorId="0">
      <text>
        <r>
          <rPr>
            <b/>
            <sz val="8"/>
            <color indexed="81"/>
            <rFont val="Tahoma"/>
            <family val="2"/>
          </rPr>
          <t>Helmer Belbo:</t>
        </r>
        <r>
          <rPr>
            <sz val="8"/>
            <color indexed="81"/>
            <rFont val="Tahoma"/>
            <family val="2"/>
          </rPr>
          <t xml:space="preserve">
Lassmåling</t>
        </r>
      </text>
    </comment>
    <comment ref="A21" authorId="0">
      <text>
        <r>
          <rPr>
            <b/>
            <sz val="8"/>
            <color indexed="81"/>
            <rFont val="Tahoma"/>
            <family val="2"/>
          </rPr>
          <t>Helmer Belbo:</t>
        </r>
        <r>
          <rPr>
            <sz val="8"/>
            <color indexed="81"/>
            <rFont val="Tahoma"/>
            <family val="2"/>
          </rPr>
          <t xml:space="preserve">
Administrasjon, fakturering</t>
        </r>
      </text>
    </comment>
    <comment ref="A22" authorId="0">
      <text>
        <r>
          <rPr>
            <b/>
            <sz val="8"/>
            <color indexed="81"/>
            <rFont val="Tahoma"/>
            <family val="2"/>
          </rPr>
          <t xml:space="preserve">Helmer Belbo: </t>
        </r>
        <r>
          <rPr>
            <sz val="8"/>
            <color indexed="81"/>
            <rFont val="Tahoma"/>
            <family val="2"/>
          </rPr>
          <t>Opplasting med ekstern maskin (eks hjullaster), lassmåling, fakturering</t>
        </r>
      </text>
    </comment>
  </commentList>
</comments>
</file>

<file path=xl/sharedStrings.xml><?xml version="1.0" encoding="utf-8"?>
<sst xmlns="http://schemas.openxmlformats.org/spreadsheetml/2006/main" count="1010" uniqueCount="389">
  <si>
    <t>Minimum</t>
  </si>
  <si>
    <t>Avstand lunneplass - terminal, km</t>
  </si>
  <si>
    <t>Avstand terminal - varmeverk, km</t>
  </si>
  <si>
    <t>Avstand lunneplass - varmeverk, km</t>
  </si>
  <si>
    <t>Refusjon bilbruk, kr / km</t>
  </si>
  <si>
    <t>Investering basmaskin, kr</t>
  </si>
  <si>
    <t>Avskrivningstid basmaskin, år</t>
  </si>
  <si>
    <t>Avskrivningstid tilleggsustyr, år</t>
  </si>
  <si>
    <t>Investering tilleggsutstyr, kr</t>
  </si>
  <si>
    <t>Tilleggsutstyr beskr</t>
  </si>
  <si>
    <t>Basmaskin effekt kW</t>
  </si>
  <si>
    <t>Hogstaggregat</t>
  </si>
  <si>
    <t>Feriepenger</t>
  </si>
  <si>
    <t>Tjenestepensjon</t>
  </si>
  <si>
    <t>Arbeidsgiveravgift</t>
  </si>
  <si>
    <t>Brukt verdi</t>
  </si>
  <si>
    <t>Lønn og tilhørende utgifter</t>
  </si>
  <si>
    <t>1G</t>
  </si>
  <si>
    <t>Driftsmargin, %</t>
  </si>
  <si>
    <t>Realrente, %</t>
  </si>
  <si>
    <t>Driftsforhold</t>
  </si>
  <si>
    <t>Kapitalkostnader, driftsmargin</t>
  </si>
  <si>
    <t>Maksimum</t>
  </si>
  <si>
    <t>AFH</t>
  </si>
  <si>
    <r>
      <t>fm</t>
    </r>
    <r>
      <rPr>
        <vertAlign val="superscript"/>
        <sz val="10"/>
        <color theme="1"/>
        <rFont val="Arial"/>
        <family val="2"/>
      </rPr>
      <t>3</t>
    </r>
  </si>
  <si>
    <r>
      <t>lm</t>
    </r>
    <r>
      <rPr>
        <vertAlign val="superscript"/>
        <sz val="10"/>
        <color theme="1"/>
        <rFont val="Arial"/>
        <family val="2"/>
      </rPr>
      <t>3</t>
    </r>
    <r>
      <rPr>
        <vertAlign val="subscript"/>
        <sz val="10"/>
        <color theme="1"/>
        <rFont val="Arial"/>
        <family val="2"/>
      </rPr>
      <t>flis</t>
    </r>
  </si>
  <si>
    <t>t ts</t>
  </si>
  <si>
    <r>
      <t>MWh</t>
    </r>
    <r>
      <rPr>
        <vertAlign val="subscript"/>
        <sz val="10"/>
        <color theme="1"/>
        <rFont val="Arial"/>
        <family val="2"/>
      </rPr>
      <t>35</t>
    </r>
  </si>
  <si>
    <r>
      <t>1 fm</t>
    </r>
    <r>
      <rPr>
        <vertAlign val="superscript"/>
        <sz val="10"/>
        <color theme="1"/>
        <rFont val="Arial"/>
        <family val="2"/>
      </rPr>
      <t>3</t>
    </r>
    <r>
      <rPr>
        <sz val="10"/>
        <color theme="1"/>
        <rFont val="Arial"/>
        <family val="2"/>
      </rPr>
      <t xml:space="preserve"> =</t>
    </r>
  </si>
  <si>
    <r>
      <t>1 lm</t>
    </r>
    <r>
      <rPr>
        <vertAlign val="superscript"/>
        <sz val="10"/>
        <color theme="1"/>
        <rFont val="Arial"/>
        <family val="2"/>
      </rPr>
      <t>3</t>
    </r>
    <r>
      <rPr>
        <vertAlign val="subscript"/>
        <sz val="10"/>
        <color theme="1"/>
        <rFont val="Arial"/>
        <family val="2"/>
      </rPr>
      <t>flis</t>
    </r>
    <r>
      <rPr>
        <sz val="10"/>
        <color theme="1"/>
        <rFont val="Arial"/>
        <family val="2"/>
      </rPr>
      <t xml:space="preserve"> =</t>
    </r>
  </si>
  <si>
    <t>1 t ts =</t>
  </si>
  <si>
    <r>
      <t>1 MWh</t>
    </r>
    <r>
      <rPr>
        <vertAlign val="subscript"/>
        <sz val="10"/>
        <color theme="1"/>
        <rFont val="Arial"/>
        <family val="2"/>
      </rPr>
      <t>35</t>
    </r>
    <r>
      <rPr>
        <sz val="10"/>
        <color theme="1"/>
        <rFont val="Arial"/>
        <family val="2"/>
      </rPr>
      <t xml:space="preserve"> =</t>
    </r>
  </si>
  <si>
    <t>Olje og smøremidler, % av dieselkostnader</t>
  </si>
  <si>
    <t>Diesel</t>
  </si>
  <si>
    <t>Avgiftsfri, ekskl MVA</t>
  </si>
  <si>
    <t>Avgiftsbelagt, ekskl MVA</t>
  </si>
  <si>
    <t>Arbeidsdager per år</t>
  </si>
  <si>
    <t>po: skogsbrensel</t>
  </si>
  <si>
    <t>Øvrige personalkostnader</t>
  </si>
  <si>
    <t>Tarifflønn fagarbeider, kr / time</t>
  </si>
  <si>
    <t>Personlig utstyr (klær, hjelm, etc), kr / ansatt / år</t>
  </si>
  <si>
    <t>TMh</t>
  </si>
  <si>
    <r>
      <t>PMh</t>
    </r>
    <r>
      <rPr>
        <vertAlign val="subscript"/>
        <sz val="11"/>
        <color theme="1"/>
        <rFont val="Calibri"/>
        <family val="2"/>
        <scheme val="minor"/>
      </rPr>
      <t>0</t>
    </r>
  </si>
  <si>
    <r>
      <t>PMh</t>
    </r>
    <r>
      <rPr>
        <vertAlign val="subscript"/>
        <sz val="11"/>
        <color theme="1"/>
        <rFont val="Calibri"/>
        <family val="2"/>
        <scheme val="minor"/>
      </rPr>
      <t>15</t>
    </r>
  </si>
  <si>
    <t>Produktive maskintimer inklusive pauser og driftsavbrudd på inntil 15 minutter</t>
  </si>
  <si>
    <t>Produktive maskintimer, dvs bare den tiden maskinen er i produktiv aktivitet</t>
  </si>
  <si>
    <t>Lisenser og avgifter</t>
  </si>
  <si>
    <t>AHH tre per time</t>
  </si>
  <si>
    <r>
      <t>Uttak, fm</t>
    </r>
    <r>
      <rPr>
        <vertAlign val="superscript"/>
        <sz val="11"/>
        <color theme="1"/>
        <rFont val="Calibri"/>
        <family val="2"/>
        <scheme val="minor"/>
      </rPr>
      <t xml:space="preserve">3 </t>
    </r>
    <r>
      <rPr>
        <sz val="11"/>
        <color theme="1"/>
        <rFont val="Calibri"/>
        <family val="2"/>
        <scheme val="minor"/>
      </rPr>
      <t>per dekar</t>
    </r>
  </si>
  <si>
    <t xml:space="preserve">Forslag </t>
  </si>
  <si>
    <t>Tillegg ukurant arbeidstid og overtid, % av grunnlønn, snitt over året</t>
  </si>
  <si>
    <t>Maskin beskrivelse</t>
  </si>
  <si>
    <t>Inndata faste kostnader</t>
  </si>
  <si>
    <t>Inndata variable kostnader</t>
  </si>
  <si>
    <t>Restverdi tilleggsutstyr</t>
  </si>
  <si>
    <t>Restverdi basmaskin</t>
  </si>
  <si>
    <t>Dieselforbr, l/PMh15</t>
  </si>
  <si>
    <t>Rep &amp; vedlikehold basmaskin, %</t>
  </si>
  <si>
    <t>Rep &amp; vedlikehold, tillegsutstyr, %</t>
  </si>
  <si>
    <t>Dekk-kostnad, per sett</t>
  </si>
  <si>
    <r>
      <t>Estimert levetid dekk (PMh</t>
    </r>
    <r>
      <rPr>
        <vertAlign val="subscript"/>
        <sz val="10"/>
        <rFont val="Arial"/>
        <family val="2"/>
      </rPr>
      <t>15</t>
    </r>
    <r>
      <rPr>
        <sz val="10"/>
        <rFont val="Arial"/>
        <family val="2"/>
      </rPr>
      <t>)</t>
    </r>
  </si>
  <si>
    <t>Belter og kjeder, kostnad per sett</t>
  </si>
  <si>
    <r>
      <t>Estimert levetid belter og kjeder (PMh</t>
    </r>
    <r>
      <rPr>
        <vertAlign val="subscript"/>
        <sz val="10"/>
        <rFont val="Arial"/>
        <family val="2"/>
      </rPr>
      <t>15</t>
    </r>
    <r>
      <rPr>
        <sz val="10"/>
        <rFont val="Arial"/>
        <family val="2"/>
      </rPr>
      <t>)</t>
    </r>
  </si>
  <si>
    <r>
      <t>Levetid sagkjeder (PMh</t>
    </r>
    <r>
      <rPr>
        <vertAlign val="subscript"/>
        <sz val="10"/>
        <rFont val="Arial"/>
        <family val="2"/>
      </rPr>
      <t>15</t>
    </r>
    <r>
      <rPr>
        <sz val="10"/>
        <rFont val="Arial"/>
        <family val="2"/>
      </rPr>
      <t>)</t>
    </r>
  </si>
  <si>
    <t>Sagkjeder, kostnad per kjede</t>
  </si>
  <si>
    <t>Sagsverd, kostnad per sverd</t>
  </si>
  <si>
    <r>
      <t>Levetid sagsverd (PMh</t>
    </r>
    <r>
      <rPr>
        <vertAlign val="subscript"/>
        <sz val="10"/>
        <rFont val="Arial"/>
        <family val="2"/>
      </rPr>
      <t>15</t>
    </r>
    <r>
      <rPr>
        <sz val="10"/>
        <rFont val="Arial"/>
        <family val="2"/>
      </rPr>
      <t>)</t>
    </r>
  </si>
  <si>
    <t>Inndata personalkostnader</t>
  </si>
  <si>
    <t>Antall skift per dag</t>
  </si>
  <si>
    <t>Rep &amp; vedlikehold, basmaskin, kr / år</t>
  </si>
  <si>
    <t>Rep &amp; vedlikehold, tillegsutstyr, kr / år</t>
  </si>
  <si>
    <t>Arbeidsvederlag, kr per time</t>
  </si>
  <si>
    <t>Refusjon transport, km / person / dag</t>
  </si>
  <si>
    <t>Administrasjon av personell og maskin, kr / år</t>
  </si>
  <si>
    <t>Inndata Produktivitet</t>
  </si>
  <si>
    <t>Utdata kostnader, per år</t>
  </si>
  <si>
    <t>Rentekostnader basmaskin og tilleggsutstyr</t>
  </si>
  <si>
    <t>Verdifall basmaskin og tilleggsutstyr</t>
  </si>
  <si>
    <r>
      <t>PMh</t>
    </r>
    <r>
      <rPr>
        <vertAlign val="subscript"/>
        <sz val="10"/>
        <rFont val="Arial"/>
        <family val="2"/>
      </rPr>
      <t>0</t>
    </r>
    <r>
      <rPr>
        <sz val="10"/>
        <rFont val="Arial"/>
        <family val="2"/>
      </rPr>
      <t xml:space="preserve"> / PMh</t>
    </r>
    <r>
      <rPr>
        <vertAlign val="subscript"/>
        <sz val="10"/>
        <rFont val="Arial"/>
        <family val="2"/>
      </rPr>
      <t>15</t>
    </r>
  </si>
  <si>
    <t>Utdata Produktivitet</t>
  </si>
  <si>
    <r>
      <t>Produktive maskintimer (PMh</t>
    </r>
    <r>
      <rPr>
        <vertAlign val="subscript"/>
        <sz val="10"/>
        <rFont val="Arial"/>
        <family val="2"/>
      </rPr>
      <t>15</t>
    </r>
    <r>
      <rPr>
        <sz val="10"/>
        <rFont val="Arial"/>
        <family val="2"/>
      </rPr>
      <t>) per år</t>
    </r>
  </si>
  <si>
    <r>
      <t>Fastkubikkmeter (fm</t>
    </r>
    <r>
      <rPr>
        <vertAlign val="superscript"/>
        <sz val="10"/>
        <rFont val="Arial"/>
        <family val="2"/>
      </rPr>
      <t>3</t>
    </r>
    <r>
      <rPr>
        <sz val="10"/>
        <rFont val="Arial"/>
        <family val="2"/>
      </rPr>
      <t>) per år</t>
    </r>
  </si>
  <si>
    <t>Diett og overnatting, kr per dag (snitt over året)</t>
  </si>
  <si>
    <t>Personarbeidstimer per skift</t>
  </si>
  <si>
    <t>Øvrige sosiale ytelser, inkl sykefravær, % av grunnlønn</t>
  </si>
  <si>
    <t>Øvrige personalkostnader kr / år</t>
  </si>
  <si>
    <t>Antall hogstobjekt per år</t>
  </si>
  <si>
    <t>Drivstoff</t>
  </si>
  <si>
    <t>Olje og smøremidler</t>
  </si>
  <si>
    <t>Rep og vedlikehold (verksted)</t>
  </si>
  <si>
    <t>Dekk, belter og kjettinger</t>
  </si>
  <si>
    <t>Kjeder, sverd</t>
  </si>
  <si>
    <t>Administrasjon</t>
  </si>
  <si>
    <t>Arbeidsvederlag</t>
  </si>
  <si>
    <t>Persontransport, kr/år</t>
  </si>
  <si>
    <r>
      <t>Utdata kostnader, per PMh</t>
    </r>
    <r>
      <rPr>
        <b/>
        <vertAlign val="subscript"/>
        <sz val="13"/>
        <color rgb="FF1F497D"/>
        <rFont val="Calibri"/>
        <family val="2"/>
      </rPr>
      <t>15</t>
    </r>
  </si>
  <si>
    <t>Avgifter, lisenser og forsikring</t>
  </si>
  <si>
    <t>Σ variable maskinkostnader</t>
  </si>
  <si>
    <t>Σ kapitalkostnader</t>
  </si>
  <si>
    <t>Σ personalkostnader</t>
  </si>
  <si>
    <t>Σ Totalt kostnader, kr per år</t>
  </si>
  <si>
    <r>
      <t>Σ Totalt kostnader, kr per PMh</t>
    </r>
    <r>
      <rPr>
        <b/>
        <vertAlign val="subscript"/>
        <sz val="10"/>
        <rFont val="Arial"/>
        <family val="2"/>
      </rPr>
      <t>15</t>
    </r>
  </si>
  <si>
    <r>
      <t>Utdata kostnader, per fm</t>
    </r>
    <r>
      <rPr>
        <b/>
        <vertAlign val="superscript"/>
        <sz val="13"/>
        <color rgb="FF1F497D"/>
        <rFont val="Calibri"/>
        <family val="2"/>
      </rPr>
      <t>3</t>
    </r>
  </si>
  <si>
    <r>
      <t>Σ Totalt kostnader, kr per fm</t>
    </r>
    <r>
      <rPr>
        <b/>
        <vertAlign val="superscript"/>
        <sz val="10"/>
        <rFont val="Arial"/>
        <family val="2"/>
      </rPr>
      <t>3</t>
    </r>
  </si>
  <si>
    <r>
      <t>MU, PMh</t>
    </r>
    <r>
      <rPr>
        <vertAlign val="subscript"/>
        <sz val="10"/>
        <rFont val="Arial"/>
        <family val="2"/>
      </rPr>
      <t xml:space="preserve">15 </t>
    </r>
    <r>
      <rPr>
        <sz val="10"/>
        <rFont val="Arial"/>
        <family val="2"/>
      </rPr>
      <t>/ TMh utenom flytting mellom objekt</t>
    </r>
  </si>
  <si>
    <t>Totale maskintimer inkl flytting i arbeidstiden, TMh per år</t>
  </si>
  <si>
    <t>Tapstid per flytting (flyttetid innenfor ordinær arbeidstid), TMh</t>
  </si>
  <si>
    <t>Tid per hogstobjekt (TMh) inkl flytting i arbeidstiden</t>
  </si>
  <si>
    <t>MU, inklusive tapstid i flytting mellom objekt</t>
  </si>
  <si>
    <t>Driftsmargin</t>
  </si>
  <si>
    <t>Utdata andre nøkkelvariabler</t>
  </si>
  <si>
    <t>Dieselforbruk, liter per fm3</t>
  </si>
  <si>
    <t>Flyttekostnader</t>
  </si>
  <si>
    <t>Maskinforsikring</t>
  </si>
  <si>
    <t>Tilleggsutstyr, detalj</t>
  </si>
  <si>
    <t>Basmaskin vekt, t</t>
  </si>
  <si>
    <r>
      <t>Produktivitet, fastkubikkmeter per PMh</t>
    </r>
    <r>
      <rPr>
        <vertAlign val="subscript"/>
        <sz val="10"/>
        <rFont val="Arial"/>
        <family val="2"/>
      </rPr>
      <t>15</t>
    </r>
  </si>
  <si>
    <t>Maskinarbeidstimer per skift (TMh)</t>
  </si>
  <si>
    <t>-</t>
  </si>
  <si>
    <r>
      <t>Levetid basmaskin, PMh</t>
    </r>
    <r>
      <rPr>
        <vertAlign val="subscript"/>
        <sz val="11"/>
        <color theme="1"/>
        <rFont val="Calibri"/>
        <family val="2"/>
        <scheme val="minor"/>
      </rPr>
      <t>15</t>
    </r>
  </si>
  <si>
    <r>
      <t>Levetid hogstaggregat, PMh</t>
    </r>
    <r>
      <rPr>
        <vertAlign val="subscript"/>
        <sz val="11"/>
        <color theme="1"/>
        <rFont val="Calibri"/>
        <family val="2"/>
        <scheme val="minor"/>
      </rPr>
      <t>15</t>
    </r>
  </si>
  <si>
    <t>LA STÅ!</t>
  </si>
  <si>
    <t>Lastekapasitet, tonn</t>
  </si>
  <si>
    <t>Materialtetthet i lass og på lager</t>
  </si>
  <si>
    <t>Fastmasseprosent heltre på bil og lassbærer</t>
  </si>
  <si>
    <t>Fastmasseprosent heltre i lunne</t>
  </si>
  <si>
    <t>Basisdensitet, snitt for aktuell virkesmiks</t>
  </si>
  <si>
    <r>
      <t>Volumkapasitet, lm</t>
    </r>
    <r>
      <rPr>
        <vertAlign val="superscript"/>
        <sz val="11"/>
        <color theme="1"/>
        <rFont val="Calibri"/>
        <family val="2"/>
        <scheme val="minor"/>
      </rPr>
      <t>3</t>
    </r>
  </si>
  <si>
    <t>Tverrsnitt areal mellom banker</t>
  </si>
  <si>
    <t>Tverrsnitt areal over banker</t>
  </si>
  <si>
    <t>Lasslengde</t>
  </si>
  <si>
    <t>Transporthastighet terreng og traktorvei, km / h (gjennomsnitt over året)</t>
  </si>
  <si>
    <r>
      <t>Lass-størrelse, fm</t>
    </r>
    <r>
      <rPr>
        <vertAlign val="superscript"/>
        <sz val="10"/>
        <rFont val="Arial"/>
        <family val="2"/>
      </rPr>
      <t>3</t>
    </r>
  </si>
  <si>
    <r>
      <t>Rundetid; lessing, transport, avlessing, retur, PMh</t>
    </r>
    <r>
      <rPr>
        <vertAlign val="subscript"/>
        <sz val="10"/>
        <rFont val="Arial"/>
        <family val="2"/>
      </rPr>
      <t>15</t>
    </r>
  </si>
  <si>
    <t>Liten LB heltre</t>
  </si>
  <si>
    <t>Stor LB heltre</t>
  </si>
  <si>
    <t>Stor LB bunter</t>
  </si>
  <si>
    <t>Fastmasseprosent i lasset</t>
  </si>
  <si>
    <t>Fukt % i materialet</t>
  </si>
  <si>
    <t>Fastmasseprosent flis på bil og i lager</t>
  </si>
  <si>
    <t>Materialfuktighet på ulike steder i kjeden</t>
  </si>
  <si>
    <t>Ved terrengtransport</t>
  </si>
  <si>
    <r>
      <t>Dieselforbr, l/PMh</t>
    </r>
    <r>
      <rPr>
        <vertAlign val="subscript"/>
        <sz val="10"/>
        <rFont val="Arial"/>
        <family val="2"/>
      </rPr>
      <t>15</t>
    </r>
  </si>
  <si>
    <t>Inndata maskinutnyttelse</t>
  </si>
  <si>
    <t>Terrengbunter</t>
  </si>
  <si>
    <t>Vegkantbunter</t>
  </si>
  <si>
    <t>Sagkjede, kostnad per</t>
  </si>
  <si>
    <r>
      <t>Sagkjede, levetid (PMh</t>
    </r>
    <r>
      <rPr>
        <vertAlign val="subscript"/>
        <sz val="10"/>
        <rFont val="Arial"/>
        <family val="2"/>
      </rPr>
      <t>15</t>
    </r>
    <r>
      <rPr>
        <sz val="10"/>
        <rFont val="Arial"/>
        <family val="2"/>
      </rPr>
      <t>)</t>
    </r>
  </si>
  <si>
    <r>
      <t>Belter og kjeder, levetid (PMh</t>
    </r>
    <r>
      <rPr>
        <vertAlign val="subscript"/>
        <sz val="10"/>
        <rFont val="Arial"/>
        <family val="2"/>
      </rPr>
      <t>15</t>
    </r>
    <r>
      <rPr>
        <sz val="10"/>
        <rFont val="Arial"/>
        <family val="2"/>
      </rPr>
      <t>)</t>
    </r>
  </si>
  <si>
    <r>
      <t>Dekk, levetid (PMh</t>
    </r>
    <r>
      <rPr>
        <vertAlign val="subscript"/>
        <sz val="10"/>
        <rFont val="Arial"/>
        <family val="2"/>
      </rPr>
      <t>15</t>
    </r>
    <r>
      <rPr>
        <sz val="10"/>
        <rFont val="Arial"/>
        <family val="2"/>
      </rPr>
      <t>)</t>
    </r>
  </si>
  <si>
    <t>Dekk, kostnad per sett</t>
  </si>
  <si>
    <t>Nylontau, kostnad per meter</t>
  </si>
  <si>
    <r>
      <t>Nylontråd, forbruk per fm</t>
    </r>
    <r>
      <rPr>
        <vertAlign val="superscript"/>
        <sz val="10"/>
        <rFont val="Arial"/>
        <family val="2"/>
      </rPr>
      <t>3</t>
    </r>
    <r>
      <rPr>
        <sz val="10"/>
        <rFont val="Arial"/>
        <family val="2"/>
      </rPr>
      <t xml:space="preserve"> (meter)</t>
    </r>
  </si>
  <si>
    <t>Flishugger terreng</t>
  </si>
  <si>
    <t>Lastebilhugger vegkant</t>
  </si>
  <si>
    <t>Traktorhugger vegkant</t>
  </si>
  <si>
    <t>Lastebilhugger terminal</t>
  </si>
  <si>
    <t>Traktorhugger terminal</t>
  </si>
  <si>
    <t>Stasjonær hugger terminal</t>
  </si>
  <si>
    <t>Kniver flishogger, kostnad per sett</t>
  </si>
  <si>
    <r>
      <t>Kniver flishogger, levetid (PMh</t>
    </r>
    <r>
      <rPr>
        <vertAlign val="subscript"/>
        <sz val="10"/>
        <rFont val="Arial"/>
        <family val="2"/>
      </rPr>
      <t>15</t>
    </r>
    <r>
      <rPr>
        <sz val="10"/>
        <rFont val="Arial"/>
        <family val="2"/>
      </rPr>
      <t>)</t>
    </r>
  </si>
  <si>
    <t>Tilleggsutstyr beskrivelse</t>
  </si>
  <si>
    <t>Knivstål flishogger, kr per sett</t>
  </si>
  <si>
    <t>Dekk, kr /  sett</t>
  </si>
  <si>
    <r>
      <t>Dekk, levetid PMh</t>
    </r>
    <r>
      <rPr>
        <vertAlign val="subscript"/>
        <sz val="10"/>
        <rFont val="Arial"/>
        <family val="2"/>
      </rPr>
      <t>15</t>
    </r>
  </si>
  <si>
    <t>Belter og kjettinger, kr / sett</t>
  </si>
  <si>
    <r>
      <t>Belter og kjettinger, levetid PMh</t>
    </r>
    <r>
      <rPr>
        <vertAlign val="subscript"/>
        <sz val="10"/>
        <rFont val="Arial"/>
        <family val="2"/>
      </rPr>
      <t>15</t>
    </r>
  </si>
  <si>
    <r>
      <t>Knivstål flishogger, levetid fm</t>
    </r>
    <r>
      <rPr>
        <vertAlign val="superscript"/>
        <sz val="10"/>
        <rFont val="Arial"/>
        <family val="2"/>
      </rPr>
      <t>3</t>
    </r>
  </si>
  <si>
    <t>Kjeder, sverd, nylon, knivstål</t>
  </si>
  <si>
    <t>Sagkjeder, sverd, nylontråd, knivstål</t>
  </si>
  <si>
    <r>
      <t>Levetid tilleggsutstyr, PMh</t>
    </r>
    <r>
      <rPr>
        <vertAlign val="subscript"/>
        <sz val="11"/>
        <color theme="1"/>
        <rFont val="Calibri"/>
        <family val="2"/>
        <scheme val="minor"/>
      </rPr>
      <t>15</t>
    </r>
  </si>
  <si>
    <t>Nylontråd bunting, kr / m</t>
  </si>
  <si>
    <r>
      <t>Nylontråd bunting m / fm</t>
    </r>
    <r>
      <rPr>
        <vertAlign val="superscript"/>
        <sz val="10"/>
        <rFont val="Arial"/>
        <family val="2"/>
      </rPr>
      <t>3</t>
    </r>
  </si>
  <si>
    <r>
      <t>Sagsverd bunting, levetid, PMh</t>
    </r>
    <r>
      <rPr>
        <vertAlign val="subscript"/>
        <sz val="10"/>
        <rFont val="Arial"/>
        <family val="2"/>
      </rPr>
      <t>15</t>
    </r>
  </si>
  <si>
    <t>Sagsverd bunting, kostnad per sverd</t>
  </si>
  <si>
    <r>
      <t>Sagkjeder bunting levetid, PMh</t>
    </r>
    <r>
      <rPr>
        <vertAlign val="subscript"/>
        <sz val="10"/>
        <rFont val="Arial"/>
        <family val="2"/>
      </rPr>
      <t>15</t>
    </r>
  </si>
  <si>
    <t>Sagkjeder bunting, kr / kjede</t>
  </si>
  <si>
    <r>
      <t>Andre variable kostnader, kr / PMh</t>
    </r>
    <r>
      <rPr>
        <vertAlign val="subscript"/>
        <sz val="10"/>
        <rFont val="Arial"/>
        <family val="2"/>
      </rPr>
      <t>15</t>
    </r>
  </si>
  <si>
    <t>Tilleggsutstyr ekstra motoreffekt</t>
  </si>
  <si>
    <t>Avskrivningstid tilleggsutstyr, år</t>
  </si>
  <si>
    <t>Basmaskin beskrivelse</t>
  </si>
  <si>
    <t xml:space="preserve">Stor lassbærer </t>
  </si>
  <si>
    <t>PTO-drevet trommelhugger</t>
  </si>
  <si>
    <t>Administrasjon av personell og maskin, kr / TMh</t>
  </si>
  <si>
    <t>Flytting og administrasjon, kr per oppdrag</t>
  </si>
  <si>
    <t>Trommelhugger med egen motor</t>
  </si>
  <si>
    <t>Stor lassbærer</t>
  </si>
  <si>
    <t>Stor 50km' traktor</t>
  </si>
  <si>
    <t>2x6 lastebilchassis</t>
  </si>
  <si>
    <t>Stor 50 km' traktor</t>
  </si>
  <si>
    <t>4x6 lastebilchassis</t>
  </si>
  <si>
    <t>PTO drevet trommelhugger</t>
  </si>
  <si>
    <t>Trommelhugger med egen motor og 24 lm3 fliskasse</t>
  </si>
  <si>
    <t>Buntemaskin</t>
  </si>
  <si>
    <t>Terrengtransportavstand lunne - vegkant, m</t>
  </si>
  <si>
    <t>Liten LB bunter</t>
  </si>
  <si>
    <t>Ingen</t>
  </si>
  <si>
    <t>Heltre tømmerbil 22 m</t>
  </si>
  <si>
    <t>Heltre tømmerbil 19,5 m</t>
  </si>
  <si>
    <t>Bunter tømmerbil 19,5 m</t>
  </si>
  <si>
    <t>Bunter tømmerbil 22 m</t>
  </si>
  <si>
    <t>Flisbil til terminal</t>
  </si>
  <si>
    <t>Flisbil til varmeverk</t>
  </si>
  <si>
    <t>Nyttelast, t</t>
  </si>
  <si>
    <t>Egenvekt, t</t>
  </si>
  <si>
    <t>Maksimal vogntogvekt, t</t>
  </si>
  <si>
    <t>Tidsforbruk lessing og lossing, min per fm3</t>
  </si>
  <si>
    <t>Transporthastighet, km / h (gjennomsnitt over året)</t>
  </si>
  <si>
    <t>Tidsforbruk lessing og lossing, min per tur</t>
  </si>
  <si>
    <t>Inndata kostnader</t>
  </si>
  <si>
    <t>Tidskostnad, kr per PMh15</t>
  </si>
  <si>
    <t>Distansekostnad, kr per km</t>
  </si>
  <si>
    <r>
      <t>Tid per hogstobjekt (PMh</t>
    </r>
    <r>
      <rPr>
        <vertAlign val="subscript"/>
        <sz val="10"/>
        <rFont val="Arial"/>
        <family val="2"/>
      </rPr>
      <t>15</t>
    </r>
    <r>
      <rPr>
        <sz val="10"/>
        <rFont val="Arial"/>
        <family val="2"/>
      </rPr>
      <t>)</t>
    </r>
  </si>
  <si>
    <t>Tidskostnad</t>
  </si>
  <si>
    <t>Distansekostnad</t>
  </si>
  <si>
    <t>Antall lass per år</t>
  </si>
  <si>
    <t>Produktive maskintimer (PMh15) per år</t>
  </si>
  <si>
    <t>Totale maskintimer arbeidstiden, TMh per år</t>
  </si>
  <si>
    <t>Lass-utnyttelsesgrad (gjennomsnitt over året)</t>
  </si>
  <si>
    <t>Lastebilhugger (bunter) terminal</t>
  </si>
  <si>
    <t>Traktorhugger (bunter) terminal</t>
  </si>
  <si>
    <t>Stasjonær hugger (bunter) terminal</t>
  </si>
  <si>
    <r>
      <t>Aktuell lass-størrelse, fm</t>
    </r>
    <r>
      <rPr>
        <vertAlign val="superscript"/>
        <sz val="10"/>
        <rFont val="Arial"/>
        <family val="2"/>
      </rPr>
      <t>3</t>
    </r>
  </si>
  <si>
    <t>Administrasjon, kr per hogstobjekt</t>
  </si>
  <si>
    <t>Lager beskrivelse</t>
  </si>
  <si>
    <t>Inndata lagerutnyttelse</t>
  </si>
  <si>
    <t>Gjennomsnittelig lagringstid, mnd</t>
  </si>
  <si>
    <t>Lagringshøyde, m</t>
  </si>
  <si>
    <r>
      <t>Fastmasseprosent, fm</t>
    </r>
    <r>
      <rPr>
        <vertAlign val="superscript"/>
        <sz val="10"/>
        <rFont val="Arial"/>
        <family val="2"/>
      </rPr>
      <t>3</t>
    </r>
    <r>
      <rPr>
        <sz val="10"/>
        <rFont val="Arial"/>
        <family val="2"/>
      </rPr>
      <t xml:space="preserve"> / lm</t>
    </r>
    <r>
      <rPr>
        <vertAlign val="superscript"/>
        <sz val="10"/>
        <rFont val="Arial"/>
        <family val="2"/>
      </rPr>
      <t>3</t>
    </r>
  </si>
  <si>
    <t>Se fane "Kjeder"</t>
  </si>
  <si>
    <t>Dekkpapp, kr / m2 inkl utlegging</t>
  </si>
  <si>
    <t>Under dekkpapp</t>
  </si>
  <si>
    <t>På asfalt, under dekkpapp</t>
  </si>
  <si>
    <t>Heltre lunne terminal</t>
  </si>
  <si>
    <t>Heltre lunne vegkant</t>
  </si>
  <si>
    <t>På fast underlag, under tak</t>
  </si>
  <si>
    <t>Pålessing med hjullaster, kr / fm3</t>
  </si>
  <si>
    <t>Avskrivningstid, år</t>
  </si>
  <si>
    <t>Lagerkostnader</t>
  </si>
  <si>
    <t>Utdata kostnader</t>
  </si>
  <si>
    <t>Mottakskostnader, kr / fm3</t>
  </si>
  <si>
    <t>Mottakskostnader, kr / hogstobjekt</t>
  </si>
  <si>
    <t>Leveringskostnader, kr / fm3</t>
  </si>
  <si>
    <t>Anslått gjennomsnittlig lagerutnyttelsesgrad, %</t>
  </si>
  <si>
    <t>Bunt lunne terminal</t>
  </si>
  <si>
    <t>Bunt lunne vegkant</t>
  </si>
  <si>
    <t>Flis fra terminal</t>
  </si>
  <si>
    <t>Flis via terminal</t>
  </si>
  <si>
    <t>Transportform</t>
  </si>
  <si>
    <t>Totalt</t>
  </si>
  <si>
    <t>Lagringstid mnd</t>
  </si>
  <si>
    <t>Bunt / heltre lunne</t>
  </si>
  <si>
    <t>Bunt / heltre terminal</t>
  </si>
  <si>
    <t>Flis terminal</t>
  </si>
  <si>
    <t>Maksimal lass-størrelse fm3</t>
  </si>
  <si>
    <t>Kjede navn</t>
  </si>
  <si>
    <r>
      <t>fm</t>
    </r>
    <r>
      <rPr>
        <vertAlign val="superscript"/>
        <sz val="11"/>
        <color theme="1"/>
        <rFont val="Calibri"/>
        <family val="2"/>
        <scheme val="minor"/>
      </rPr>
      <t>3</t>
    </r>
  </si>
  <si>
    <t>Fastkubikkmeter trevirke</t>
  </si>
  <si>
    <r>
      <t>lm</t>
    </r>
    <r>
      <rPr>
        <vertAlign val="superscript"/>
        <sz val="11"/>
        <color theme="1"/>
        <rFont val="Calibri"/>
        <family val="2"/>
        <scheme val="minor"/>
      </rPr>
      <t>3</t>
    </r>
  </si>
  <si>
    <t>Løskubikkmeter, dvs. bruttovolum av et lass, en lunne eller en flis-stakk.</t>
  </si>
  <si>
    <t>Akkumulerende fellehode</t>
  </si>
  <si>
    <t>AHH</t>
  </si>
  <si>
    <t>Akkumulerende Hogstaggregat</t>
  </si>
  <si>
    <t xml:space="preserve"> LB = Lassbærer</t>
  </si>
  <si>
    <r>
      <t>Produktivitet, fastkubikkmeter per PMh</t>
    </r>
    <r>
      <rPr>
        <b/>
        <vertAlign val="subscript"/>
        <sz val="10"/>
        <rFont val="Arial"/>
        <family val="2"/>
      </rPr>
      <t>15</t>
    </r>
  </si>
  <si>
    <t>Tidsforbruk transport t-r lunneplass, minutter per lass</t>
  </si>
  <si>
    <t>Tidsforbruk lessing og lossing, minutter per lass</t>
  </si>
  <si>
    <r>
      <t>Tidsforbruk lessing og lossing, minutter per fm</t>
    </r>
    <r>
      <rPr>
        <vertAlign val="superscript"/>
        <sz val="10"/>
        <rFont val="Arial"/>
        <family val="2"/>
      </rPr>
      <t>3</t>
    </r>
  </si>
  <si>
    <t>Rundetid; lessing, transport, avlessing, retur, min. per lass</t>
  </si>
  <si>
    <t>Liten hogtsmaskin</t>
  </si>
  <si>
    <t>Mellom hogstmaskin</t>
  </si>
  <si>
    <t>Stor hogstmaskin</t>
  </si>
  <si>
    <r>
      <t>Tidsforbruk PMmin</t>
    </r>
    <r>
      <rPr>
        <vertAlign val="subscript"/>
        <sz val="10"/>
        <rFont val="Arial"/>
        <family val="2"/>
      </rPr>
      <t>0</t>
    </r>
    <r>
      <rPr>
        <sz val="10"/>
        <rFont val="Arial"/>
        <family val="2"/>
      </rPr>
      <t xml:space="preserve"> per fm</t>
    </r>
    <r>
      <rPr>
        <vertAlign val="superscript"/>
        <sz val="10"/>
        <rFont val="Arial"/>
        <family val="2"/>
      </rPr>
      <t>3</t>
    </r>
  </si>
  <si>
    <t>Flyttekostnad, kr per hogstobjekt</t>
  </si>
  <si>
    <t>Tapstid flytting, TMh per hogstobjekt</t>
  </si>
  <si>
    <t>Bunteenhet</t>
  </si>
  <si>
    <t>Flytting og administrasjon, kr per hogstobjekt</t>
  </si>
  <si>
    <t>Beregnet transporthastighet, km / h (gjennomsnitt over året)</t>
  </si>
  <si>
    <t>Benyttet transporthastighet, km / h (gjennomsnitt over året)</t>
  </si>
  <si>
    <r>
      <t>PMmin</t>
    </r>
    <r>
      <rPr>
        <vertAlign val="subscript"/>
        <sz val="11"/>
        <color theme="1"/>
        <rFont val="Calibri"/>
        <family val="2"/>
        <scheme val="minor"/>
      </rPr>
      <t>0</t>
    </r>
  </si>
  <si>
    <r>
      <t>PMmin</t>
    </r>
    <r>
      <rPr>
        <vertAlign val="subscript"/>
        <sz val="11"/>
        <color theme="1"/>
        <rFont val="Calibri"/>
        <family val="2"/>
        <scheme val="minor"/>
      </rPr>
      <t>15</t>
    </r>
  </si>
  <si>
    <t>Produktive minutter, dvs bare den tiden maskinen er i produktiv aktivitet</t>
  </si>
  <si>
    <t>Produktive minutter inklusive pauser ogo driftsavbrudd på inntil 15 minutter</t>
  </si>
  <si>
    <t>Totale maskintimer, antall timer maskinen er bemannet, inklusive tid til flytting, matpauser, vedlikehold, reparasjon, planlegging, klargjøring før og etter drift, andre driftsavbrudd</t>
  </si>
  <si>
    <r>
      <t>Investering, kr / m</t>
    </r>
    <r>
      <rPr>
        <vertAlign val="superscript"/>
        <sz val="10"/>
        <rFont val="Arial"/>
        <family val="2"/>
      </rPr>
      <t>2</t>
    </r>
  </si>
  <si>
    <r>
      <t>Årlig vedlikehold av lager, kr / m</t>
    </r>
    <r>
      <rPr>
        <vertAlign val="superscript"/>
        <sz val="10"/>
        <rFont val="Arial"/>
        <family val="2"/>
      </rPr>
      <t>2</t>
    </r>
  </si>
  <si>
    <r>
      <t>Lagerkapasitet, fm</t>
    </r>
    <r>
      <rPr>
        <vertAlign val="superscript"/>
        <sz val="10"/>
        <rFont val="Arial"/>
        <family val="2"/>
      </rPr>
      <t>3</t>
    </r>
    <r>
      <rPr>
        <sz val="10"/>
        <rFont val="Arial"/>
        <family val="2"/>
      </rPr>
      <t>*mnd per m</t>
    </r>
    <r>
      <rPr>
        <vertAlign val="superscript"/>
        <sz val="10"/>
        <rFont val="Arial"/>
        <family val="2"/>
      </rPr>
      <t>2</t>
    </r>
    <r>
      <rPr>
        <sz val="10"/>
        <rFont val="Arial"/>
        <family val="2"/>
      </rPr>
      <t xml:space="preserve"> per år</t>
    </r>
  </si>
  <si>
    <t>Detaljer:</t>
  </si>
  <si>
    <r>
      <t>Faste kostnader per fm</t>
    </r>
    <r>
      <rPr>
        <vertAlign val="superscript"/>
        <sz val="11"/>
        <color theme="1"/>
        <rFont val="Calibri"/>
        <family val="2"/>
        <scheme val="minor"/>
      </rPr>
      <t>3</t>
    </r>
    <r>
      <rPr>
        <sz val="11"/>
        <color theme="1"/>
        <rFont val="Calibri"/>
        <family val="2"/>
        <scheme val="minor"/>
      </rPr>
      <t xml:space="preserve"> per mnd</t>
    </r>
  </si>
  <si>
    <r>
      <t>Variable kostnader per fm</t>
    </r>
    <r>
      <rPr>
        <vertAlign val="superscript"/>
        <sz val="11"/>
        <color theme="1"/>
        <rFont val="Calibri"/>
        <family val="2"/>
        <scheme val="minor"/>
      </rPr>
      <t>3</t>
    </r>
  </si>
  <si>
    <t>Belteunderstell</t>
  </si>
  <si>
    <t>Motoreffekt inn på flishogger, kW</t>
  </si>
  <si>
    <r>
      <t>Estimert tidsforbruk flishogging PMmin</t>
    </r>
    <r>
      <rPr>
        <vertAlign val="subscript"/>
        <sz val="10"/>
        <rFont val="Arial"/>
        <family val="2"/>
      </rPr>
      <t>0</t>
    </r>
    <r>
      <rPr>
        <sz val="10"/>
        <rFont val="Arial"/>
        <family val="2"/>
      </rPr>
      <t xml:space="preserve"> per fm</t>
    </r>
    <r>
      <rPr>
        <vertAlign val="superscript"/>
        <sz val="10"/>
        <rFont val="Arial"/>
        <family val="2"/>
      </rPr>
      <t>3</t>
    </r>
  </si>
  <si>
    <r>
      <t>Tidsforbruk flishogging benyttet i kalkylen, PMmin</t>
    </r>
    <r>
      <rPr>
        <vertAlign val="subscript"/>
        <sz val="10"/>
        <rFont val="Arial"/>
        <family val="2"/>
      </rPr>
      <t>0</t>
    </r>
    <r>
      <rPr>
        <sz val="10"/>
        <rFont val="Arial"/>
        <family val="2"/>
      </rPr>
      <t xml:space="preserve"> per fm</t>
    </r>
    <r>
      <rPr>
        <vertAlign val="superscript"/>
        <sz val="10"/>
        <rFont val="Arial"/>
        <family val="2"/>
      </rPr>
      <t xml:space="preserve">3 </t>
    </r>
  </si>
  <si>
    <t>Dieselforbruk, liter per tonn ts</t>
  </si>
  <si>
    <t>Gi navn til kjedene</t>
  </si>
  <si>
    <r>
      <t>Tidsforbruk prosess, PMmin</t>
    </r>
    <r>
      <rPr>
        <vertAlign val="subscript"/>
        <sz val="10"/>
        <rFont val="Arial"/>
        <family val="2"/>
      </rPr>
      <t>0</t>
    </r>
    <r>
      <rPr>
        <sz val="10"/>
        <rFont val="Arial"/>
        <family val="2"/>
      </rPr>
      <t xml:space="preserve"> per fm</t>
    </r>
    <r>
      <rPr>
        <vertAlign val="superscript"/>
        <sz val="10"/>
        <rFont val="Arial"/>
        <family val="2"/>
      </rPr>
      <t>3</t>
    </r>
  </si>
  <si>
    <t>Øre per kWh</t>
  </si>
  <si>
    <t>Avstand bestand - lunneplass, m</t>
  </si>
  <si>
    <t>Cellereferanse</t>
  </si>
  <si>
    <t>Medium LB heltre</t>
  </si>
  <si>
    <t>Medium LB bunter</t>
  </si>
  <si>
    <t>Dieselforbruk, liter per tonn tørrstoff</t>
  </si>
  <si>
    <t>Stamvolum, liter</t>
  </si>
  <si>
    <t>Karha AHH m3 per time</t>
  </si>
  <si>
    <r>
      <t>Renter, avdrag og årlig vedlikehold, kr per m</t>
    </r>
    <r>
      <rPr>
        <b/>
        <vertAlign val="superscript"/>
        <sz val="11"/>
        <color theme="1"/>
        <rFont val="Calibri"/>
        <family val="2"/>
        <scheme val="minor"/>
      </rPr>
      <t>2</t>
    </r>
    <r>
      <rPr>
        <b/>
        <sz val="11"/>
        <color theme="1"/>
        <rFont val="Calibri"/>
        <family val="2"/>
        <scheme val="minor"/>
      </rPr>
      <t xml:space="preserve"> per år</t>
    </r>
  </si>
  <si>
    <t>Fastmasseprosent bunter på bil og i lager</t>
  </si>
  <si>
    <t>Ved vegtransport til terminal</t>
  </si>
  <si>
    <t>Ved vegtransport til sluttbruker</t>
  </si>
  <si>
    <t>TrojanHogger</t>
  </si>
  <si>
    <t>gravemaskinunderstell</t>
  </si>
  <si>
    <t>Flis fra vegkant 2</t>
  </si>
  <si>
    <r>
      <t>Nylontrådforbruk bunting m / fm</t>
    </r>
    <r>
      <rPr>
        <vertAlign val="superscript"/>
        <sz val="10"/>
        <rFont val="Arial"/>
        <family val="2"/>
      </rPr>
      <t>3</t>
    </r>
  </si>
  <si>
    <t>Prosesstype:</t>
  </si>
  <si>
    <t>La stå!</t>
  </si>
  <si>
    <t>Flishogging</t>
  </si>
  <si>
    <t>Bunting</t>
  </si>
  <si>
    <r>
      <t>Beregnet tidsforbruk støttetid (eksempelvis terrengtransport m terrengflishogger), PMmin</t>
    </r>
    <r>
      <rPr>
        <vertAlign val="subscript"/>
        <sz val="10"/>
        <rFont val="Arial"/>
        <family val="2"/>
      </rPr>
      <t>0</t>
    </r>
    <r>
      <rPr>
        <sz val="10"/>
        <rFont val="Arial"/>
        <family val="2"/>
      </rPr>
      <t xml:space="preserve"> per fm3</t>
    </r>
  </si>
  <si>
    <r>
      <t>Benyttet tidsforbruk hovedprosess, PMmin</t>
    </r>
    <r>
      <rPr>
        <vertAlign val="subscript"/>
        <sz val="10"/>
        <rFont val="Arial"/>
        <family val="2"/>
      </rPr>
      <t>0</t>
    </r>
    <r>
      <rPr>
        <sz val="10"/>
        <rFont val="Arial"/>
        <family val="2"/>
      </rPr>
      <t xml:space="preserve"> per fm</t>
    </r>
    <r>
      <rPr>
        <vertAlign val="superscript"/>
        <sz val="10"/>
        <rFont val="Arial"/>
        <family val="2"/>
      </rPr>
      <t>3</t>
    </r>
  </si>
  <si>
    <r>
      <t>Beregnet tidsforbruk hovedprossess (flishogging eller bunting), PMmin</t>
    </r>
    <r>
      <rPr>
        <vertAlign val="subscript"/>
        <sz val="10"/>
        <rFont val="Arial"/>
        <family val="2"/>
      </rPr>
      <t>0</t>
    </r>
    <r>
      <rPr>
        <sz val="10"/>
        <rFont val="Arial"/>
        <family val="2"/>
      </rPr>
      <t xml:space="preserve"> per fm</t>
    </r>
    <r>
      <rPr>
        <vertAlign val="superscript"/>
        <sz val="10"/>
        <rFont val="Arial"/>
        <family val="2"/>
      </rPr>
      <t>3</t>
    </r>
  </si>
  <si>
    <t>Lisenser og avgifter, kr per år</t>
  </si>
  <si>
    <t>Maskinforsikring, per år</t>
  </si>
  <si>
    <t>Restverdi tilleggsutstyr, kr ved salg</t>
  </si>
  <si>
    <t>Restverdi basmaskin, kr ved salg</t>
  </si>
  <si>
    <t xml:space="preserve">Klikk i cellene B6 til K13 for å endre konfigurering. </t>
  </si>
  <si>
    <t>Fastmasseprosent rundvirke på bil og i lunne</t>
  </si>
  <si>
    <t>Karha AFH m3 per time</t>
  </si>
  <si>
    <t xml:space="preserve">Lastfaktor </t>
  </si>
  <si>
    <t>Resultat, timer (TMh) per år</t>
  </si>
  <si>
    <t>Normalårsverk, timer</t>
  </si>
  <si>
    <t>Lønnsutgifter per normalårsverk</t>
  </si>
  <si>
    <t>Snitt lønnsutg per arbeidstime</t>
  </si>
  <si>
    <t>Yrkesskadeforsikring, kr / årsverk</t>
  </si>
  <si>
    <t>Lønnskostnader, kr per time</t>
  </si>
  <si>
    <t>Lønnsutgifter</t>
  </si>
  <si>
    <t>Lønnskostnader</t>
  </si>
  <si>
    <t>Lønnskostnader (lønnsutgifter knyttet til sjåfør)</t>
  </si>
  <si>
    <t>Lønnskostnader (sjåfør), kr per time</t>
  </si>
  <si>
    <t>Beregnet dieselforbruk, l/PMh15</t>
  </si>
  <si>
    <t>Benyttet dieselforbr, l/PMh15</t>
  </si>
  <si>
    <t>Lønnsutgifter, kr per personarbeidstime</t>
  </si>
  <si>
    <t>Maksimal lass-størrelse, tonn tørrstoff</t>
  </si>
  <si>
    <t>Maksimal lass-størrelse, tonn</t>
  </si>
  <si>
    <t>Basisdensitet i materialet (kg tørrstoff / fm3)</t>
  </si>
  <si>
    <r>
      <t>Tidsforbruk lessing og lossing, min per fm</t>
    </r>
    <r>
      <rPr>
        <vertAlign val="superscript"/>
        <sz val="10"/>
        <rFont val="Arial"/>
        <family val="2"/>
      </rPr>
      <t>3</t>
    </r>
  </si>
  <si>
    <t xml:space="preserve">MU, PMh15/TMh, % </t>
  </si>
  <si>
    <t>PMh0 / PMh15, %</t>
  </si>
  <si>
    <t>Tonn per år</t>
  </si>
  <si>
    <r>
      <t>Tidsforbruk lessing og lossing, PMh</t>
    </r>
    <r>
      <rPr>
        <vertAlign val="subscript"/>
        <sz val="10"/>
        <rFont val="Arial"/>
        <family val="2"/>
      </rPr>
      <t>15</t>
    </r>
    <r>
      <rPr>
        <sz val="10"/>
        <rFont val="Arial"/>
        <family val="2"/>
      </rPr>
      <t xml:space="preserve"> per lass</t>
    </r>
  </si>
  <si>
    <r>
      <t>Tidsforbruk transport t-r, PMh</t>
    </r>
    <r>
      <rPr>
        <vertAlign val="subscript"/>
        <sz val="10"/>
        <rFont val="Arial"/>
        <family val="2"/>
      </rPr>
      <t>15</t>
    </r>
    <r>
      <rPr>
        <sz val="10"/>
        <rFont val="Arial"/>
        <family val="2"/>
      </rPr>
      <t xml:space="preserve"> per lass</t>
    </r>
  </si>
  <si>
    <r>
      <t>Basisdensitet i materialet, tonn tørrstoff / fm</t>
    </r>
    <r>
      <rPr>
        <vertAlign val="superscript"/>
        <sz val="11"/>
        <color theme="1"/>
        <rFont val="Calibri"/>
        <family val="2"/>
        <scheme val="minor"/>
      </rPr>
      <t>3</t>
    </r>
  </si>
  <si>
    <t>Transportmateriale</t>
  </si>
  <si>
    <t>Heltre</t>
  </si>
  <si>
    <t>Bunter</t>
  </si>
  <si>
    <t>Flis</t>
  </si>
  <si>
    <t>Rundvirke</t>
  </si>
  <si>
    <t>Maksimal lass-størrelse tonn tørrstoff</t>
  </si>
  <si>
    <t>Maksimal lass-størrelse tonn</t>
  </si>
  <si>
    <r>
      <t>Aktuell Lass-størrelse, fm</t>
    </r>
    <r>
      <rPr>
        <vertAlign val="superscript"/>
        <sz val="10"/>
        <rFont val="Arial"/>
        <family val="2"/>
      </rPr>
      <t>3</t>
    </r>
  </si>
  <si>
    <t>Tidsforbruk lessing og lossing, fast min per tur</t>
  </si>
  <si>
    <t>Persontransport</t>
  </si>
  <si>
    <r>
      <t>Årsproduksjon, fm</t>
    </r>
    <r>
      <rPr>
        <b/>
        <vertAlign val="superscript"/>
        <sz val="11"/>
        <color theme="0"/>
        <rFont val="Calibri"/>
        <family val="2"/>
        <scheme val="minor"/>
      </rPr>
      <t>3</t>
    </r>
  </si>
  <si>
    <t/>
  </si>
  <si>
    <t>Transportform1</t>
  </si>
  <si>
    <t>Kjedenavn</t>
  </si>
  <si>
    <t>Faste omregningsfaktorer</t>
  </si>
  <si>
    <t>Fra tonn til tonn tørrstoff</t>
  </si>
  <si>
    <t>Fra tonn til MWh</t>
  </si>
  <si>
    <t>Fra tonn ts til MWh</t>
  </si>
  <si>
    <t>F%</t>
  </si>
  <si>
    <t>Fra tonn tørrstoff til tonn</t>
  </si>
  <si>
    <t>Omregningsformler for varierende fuktighet</t>
  </si>
  <si>
    <t>t ts =</t>
  </si>
  <si>
    <t>t =</t>
  </si>
  <si>
    <t xml:space="preserve">MWh = </t>
  </si>
  <si>
    <t>Terrengflishugger</t>
  </si>
  <si>
    <t>Terminalhogger</t>
  </si>
  <si>
    <r>
      <t>Uttak, fm</t>
    </r>
    <r>
      <rPr>
        <vertAlign val="superscript"/>
        <sz val="11"/>
        <color theme="1"/>
        <rFont val="Calibri"/>
        <family val="2"/>
        <scheme val="minor"/>
      </rPr>
      <t xml:space="preserve">3 </t>
    </r>
    <r>
      <rPr>
        <sz val="11"/>
        <color theme="1"/>
        <rFont val="Calibri"/>
        <family val="2"/>
        <scheme val="minor"/>
      </rPr>
      <t>per oppdrag</t>
    </r>
  </si>
  <si>
    <t>Areal per oppdrag, dekar</t>
  </si>
  <si>
    <r>
      <t>Levetid belter og kjeder (PMh</t>
    </r>
    <r>
      <rPr>
        <vertAlign val="subscript"/>
        <sz val="10"/>
        <rFont val="Arial"/>
        <family val="2"/>
      </rPr>
      <t>15</t>
    </r>
    <r>
      <rPr>
        <sz val="10"/>
        <rFont val="Arial"/>
        <family val="2"/>
      </rPr>
      <t>)</t>
    </r>
  </si>
  <si>
    <r>
      <t>Levetid dekk (PMh</t>
    </r>
    <r>
      <rPr>
        <vertAlign val="subscript"/>
        <sz val="10"/>
        <rFont val="Arial"/>
        <family val="2"/>
      </rPr>
      <t>15</t>
    </r>
    <r>
      <rPr>
        <sz val="10"/>
        <rFont val="Arial"/>
        <family val="2"/>
      </rPr>
      <t>)</t>
    </r>
  </si>
  <si>
    <t>Lastfaktor, %</t>
  </si>
  <si>
    <t>Lastfaktor %</t>
  </si>
  <si>
    <t>Beregnet dieselforbr, l/PMh15</t>
  </si>
  <si>
    <t>Benyttet dieselforbruk</t>
  </si>
  <si>
    <t>Scenariovelger</t>
  </si>
  <si>
    <t>Scenariovariabel</t>
  </si>
  <si>
    <t>Flis fra vegkant 1</t>
  </si>
  <si>
    <r>
      <t>Kostnader, kr / fm</t>
    </r>
    <r>
      <rPr>
        <b/>
        <vertAlign val="superscript"/>
        <sz val="11"/>
        <color theme="0"/>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</si>
</sst>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43" formatCode="_ * #,##0.00_ ;_ * \-#,##0.00_ ;_ * &quot;-&quot;??_ ;_ @_ "/>
    <numFmt numFmtId="164" formatCode="0.0"/>
    <numFmt numFmtId="165" formatCode="0.0\ %"/>
    <numFmt numFmtId="166" formatCode="_ * #,##0.0_ ;_ * \-#,##0.0_ ;_ * &quot;-&quot;??_ ;_ @_ "/>
    <numFmt numFmtId="167" formatCode="_ * #,##0_ ;_ * \-#,##0_ ;_ * &quot;-&quot;??_ ;_ @_ "/>
    <numFmt numFmtId="168" formatCode="#,##0.0"/>
    <numFmt numFmtId="169" formatCode="#,##0.000"/>
    <numFmt numFmtId="170" formatCode="0.000"/>
    <numFmt numFmtId="171" formatCode="0;;;@"/>
    <numFmt numFmtId="172" formatCode="_ * #,##0_ ;_ * \-#,##0_ ;_ * &quot;-&quot;?_ ;_ @_ "/>
  </numFmts>
  <fonts count="37" x14ac:knownFonts="1">
    <font>
      <sz val="11"/>
      <color theme="1"/>
      <name val="Calibri"/>
      <family val="2"/>
      <scheme val="minor"/>
    </font>
    <font>
      <vertAlign val="superscript"/>
      <sz val="11"/>
      <color theme="1"/>
      <name val="Calibri"/>
      <family val="2"/>
      <scheme val="minor"/>
    </font>
    <font>
      <sz val="11"/>
      <color theme="1"/>
      <name val="Calibri"/>
      <family val="2"/>
      <scheme val="minor"/>
    </font>
    <font>
      <b/>
      <sz val="13"/>
      <color theme="3"/>
      <name val="Calibri"/>
      <family val="2"/>
      <scheme val="minor"/>
    </font>
    <font>
      <b/>
      <sz val="11"/>
      <color theme="1"/>
      <name val="Calibri"/>
      <family val="2"/>
      <scheme val="minor"/>
    </font>
    <font>
      <b/>
      <sz val="10"/>
      <name val="Arial"/>
      <family val="2"/>
    </font>
    <font>
      <sz val="10"/>
      <name val="Arial"/>
      <family val="2"/>
    </font>
    <font>
      <vertAlign val="subscript"/>
      <sz val="10"/>
      <name val="Arial"/>
      <family val="2"/>
    </font>
    <font>
      <b/>
      <sz val="12"/>
      <name val="Arial"/>
      <family val="2"/>
    </font>
    <font>
      <b/>
      <sz val="8"/>
      <color indexed="81"/>
      <name val="Tahoma"/>
      <family val="2"/>
    </font>
    <font>
      <sz val="8"/>
      <color indexed="81"/>
      <name val="Tahoma"/>
      <family val="2"/>
    </font>
    <font>
      <b/>
      <sz val="13"/>
      <color rgb="FF1F497D"/>
      <name val="Calibri"/>
      <family val="2"/>
    </font>
    <font>
      <b/>
      <sz val="8"/>
      <color rgb="FF000000"/>
      <name val="Tahoma"/>
      <family val="2"/>
    </font>
    <font>
      <sz val="8"/>
      <color rgb="FF000000"/>
      <name val="Tahoma"/>
      <family val="2"/>
    </font>
    <font>
      <b/>
      <vertAlign val="subscript"/>
      <sz val="10"/>
      <name val="Arial"/>
      <family val="2"/>
    </font>
    <font>
      <sz val="10"/>
      <color theme="1"/>
      <name val="Arial"/>
      <family val="2"/>
    </font>
    <font>
      <vertAlign val="superscript"/>
      <sz val="10"/>
      <color theme="1"/>
      <name val="Arial"/>
      <family val="2"/>
    </font>
    <font>
      <vertAlign val="subscript"/>
      <sz val="10"/>
      <color theme="1"/>
      <name val="Arial"/>
      <family val="2"/>
    </font>
    <font>
      <vertAlign val="subscript"/>
      <sz val="11"/>
      <color theme="1"/>
      <name val="Calibri"/>
      <family val="2"/>
      <scheme val="minor"/>
    </font>
    <font>
      <vertAlign val="superscript"/>
      <sz val="10"/>
      <name val="Arial"/>
      <family val="2"/>
    </font>
    <font>
      <b/>
      <vertAlign val="subscript"/>
      <sz val="13"/>
      <color rgb="FF1F497D"/>
      <name val="Calibri"/>
      <family val="2"/>
    </font>
    <font>
      <b/>
      <vertAlign val="superscript"/>
      <sz val="13"/>
      <color rgb="FF1F497D"/>
      <name val="Calibri"/>
      <family val="2"/>
    </font>
    <font>
      <b/>
      <vertAlign val="superscript"/>
      <sz val="10"/>
      <name val="Arial"/>
      <family val="2"/>
    </font>
    <font>
      <b/>
      <sz val="11"/>
      <color theme="0"/>
      <name val="Calibri"/>
      <family val="2"/>
      <scheme val="minor"/>
    </font>
    <font>
      <vertAlign val="superscript"/>
      <sz val="8"/>
      <color indexed="81"/>
      <name val="Tahoma"/>
      <family val="2"/>
    </font>
    <font>
      <sz val="11"/>
      <color theme="6" tint="0.59999389629810485"/>
      <name val="Calibri"/>
      <family val="2"/>
      <scheme val="minor"/>
    </font>
    <font>
      <sz val="11"/>
      <color theme="6" tint="0.79998168889431442"/>
      <name val="Calibri"/>
      <family val="2"/>
      <scheme val="minor"/>
    </font>
    <font>
      <b/>
      <vertAlign val="superscript"/>
      <sz val="11"/>
      <color theme="1"/>
      <name val="Calibri"/>
      <family val="2"/>
      <scheme val="minor"/>
    </font>
    <font>
      <sz val="10"/>
      <color theme="1"/>
      <name val="Times New Roman"/>
      <family val="1"/>
    </font>
    <font>
      <sz val="11"/>
      <color theme="1"/>
      <name val="Times New Roman"/>
      <family val="1"/>
    </font>
    <font>
      <sz val="9"/>
      <color indexed="81"/>
      <name val="Tahoma"/>
      <family val="2"/>
    </font>
    <font>
      <b/>
      <sz val="9"/>
      <color indexed="81"/>
      <name val="Tahoma"/>
      <family val="2"/>
    </font>
    <font>
      <b/>
      <sz val="13"/>
      <color theme="0"/>
      <name val="Calibri"/>
      <family val="2"/>
    </font>
    <font>
      <sz val="11"/>
      <color theme="0"/>
      <name val="Calibri"/>
      <family val="2"/>
      <scheme val="minor"/>
    </font>
    <font>
      <b/>
      <vertAlign val="superscript"/>
      <sz val="11"/>
      <color theme="0"/>
      <name val="Calibri"/>
      <family val="2"/>
      <scheme val="minor"/>
    </font>
    <font>
      <sz val="11"/>
      <color rgb="FF282828"/>
      <name val="Arial"/>
      <family val="2"/>
    </font>
    <font>
      <b/>
      <sz val="10"/>
      <color theme="1"/>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6"/>
        <bgColor indexed="64"/>
      </patternFill>
    </fill>
    <fill>
      <patternFill patternType="solid">
        <fgColor rgb="FFFFC000"/>
        <bgColor indexed="64"/>
      </patternFill>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41">
    <border>
      <left/>
      <right/>
      <top/>
      <bottom/>
      <diagonal/>
    </border>
    <border>
      <left/>
      <right/>
      <top/>
      <bottom style="thick">
        <color theme="4" tint="0.499984740745262"/>
      </bottom>
      <diagonal/>
    </border>
    <border>
      <left/>
      <right/>
      <top/>
      <bottom style="thick">
        <color rgb="FFA7BFDE"/>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right/>
      <top/>
      <bottom style="thin">
        <color indexed="64"/>
      </bottom>
      <diagonal/>
    </border>
    <border>
      <left style="thin">
        <color theme="0"/>
      </left>
      <right style="thick">
        <color theme="6" tint="-0.499984740745262"/>
      </right>
      <top style="thin">
        <color theme="0"/>
      </top>
      <bottom style="thick">
        <color theme="6" tint="-0.499984740745262"/>
      </bottom>
      <diagonal/>
    </border>
    <border>
      <left style="thick">
        <color theme="6" tint="-0.499984740745262"/>
      </left>
      <right/>
      <top style="thin">
        <color theme="6" tint="0.39997558519241921"/>
      </top>
      <bottom style="thick">
        <color theme="6" tint="-0.499984740745262"/>
      </bottom>
      <diagonal/>
    </border>
    <border>
      <left/>
      <right/>
      <top style="thin">
        <color theme="6" tint="0.39997558519241921"/>
      </top>
      <bottom style="thick">
        <color theme="6" tint="-0.499984740745262"/>
      </bottom>
      <diagonal/>
    </border>
    <border>
      <left/>
      <right style="thick">
        <color theme="6" tint="-0.499984740745262"/>
      </right>
      <top style="thin">
        <color theme="6" tint="0.39997558519241921"/>
      </top>
      <bottom style="thick">
        <color theme="6" tint="-0.499984740745262"/>
      </bottom>
      <diagonal/>
    </border>
    <border>
      <left style="thin">
        <color theme="0"/>
      </left>
      <right/>
      <top style="thin">
        <color theme="0"/>
      </top>
      <bottom/>
      <diagonal/>
    </border>
    <border>
      <left style="thin">
        <color theme="0"/>
      </left>
      <right/>
      <top style="thick">
        <color theme="0"/>
      </top>
      <bottom/>
      <diagonal/>
    </border>
    <border>
      <left style="thin">
        <color theme="0"/>
      </left>
      <right/>
      <top/>
      <bottom/>
      <diagonal/>
    </border>
    <border>
      <left style="thin">
        <color theme="0"/>
      </left>
      <right style="thick">
        <color theme="6" tint="-0.499984740745262"/>
      </right>
      <top/>
      <bottom/>
      <diagonal/>
    </border>
    <border>
      <left style="thick">
        <color theme="6" tint="-0.499984740745262"/>
      </left>
      <right/>
      <top style="thick">
        <color theme="0"/>
      </top>
      <bottom/>
      <diagonal/>
    </border>
    <border>
      <left style="thin">
        <color theme="0"/>
      </left>
      <right style="thick">
        <color theme="6" tint="-0.499984740745262"/>
      </right>
      <top style="thick">
        <color theme="0"/>
      </top>
      <bottom/>
      <diagonal/>
    </border>
    <border>
      <left style="thick">
        <color theme="6" tint="-0.499984740745262"/>
      </left>
      <right/>
      <top style="thin">
        <color theme="0"/>
      </top>
      <bottom/>
      <diagonal/>
    </border>
    <border>
      <left style="thin">
        <color theme="0"/>
      </left>
      <right style="thick">
        <color theme="6" tint="-0.499984740745262"/>
      </right>
      <top style="thin">
        <color theme="0"/>
      </top>
      <bottom/>
      <diagonal/>
    </border>
    <border>
      <left style="thick">
        <color theme="6" tint="-0.499984740745262"/>
      </left>
      <right/>
      <top style="thin">
        <color theme="0"/>
      </top>
      <bottom style="thick">
        <color theme="6" tint="-0.499984740745262"/>
      </bottom>
      <diagonal/>
    </border>
    <border>
      <left style="thin">
        <color theme="0"/>
      </left>
      <right/>
      <top style="thin">
        <color theme="0"/>
      </top>
      <bottom style="thick">
        <color theme="6" tint="-0.499984740745262"/>
      </bottom>
      <diagonal/>
    </border>
    <border>
      <left style="thick">
        <color theme="6" tint="-0.499984740745262"/>
      </left>
      <right/>
      <top style="thin">
        <color theme="6" tint="0.39997558519241921"/>
      </top>
      <bottom/>
      <diagonal/>
    </border>
    <border>
      <left/>
      <right/>
      <top style="thin">
        <color theme="6" tint="0.39997558519241921"/>
      </top>
      <bottom/>
      <diagonal/>
    </border>
    <border>
      <left/>
      <right style="thick">
        <color theme="6" tint="-0.499984740745262"/>
      </right>
      <top style="thin">
        <color theme="6" tint="0.39997558519241921"/>
      </top>
      <bottom/>
      <diagonal/>
    </border>
    <border>
      <left style="thick">
        <color theme="6" tint="-0.499984740745262"/>
      </left>
      <right style="thick">
        <color theme="6" tint="-0.499984740745262"/>
      </right>
      <top style="thick">
        <color theme="6" tint="-0.499984740745262"/>
      </top>
      <bottom/>
      <diagonal/>
    </border>
    <border>
      <left style="thick">
        <color theme="6" tint="-0.499984740745262"/>
      </left>
      <right/>
      <top style="thin">
        <color theme="6" tint="-0.499984740745262"/>
      </top>
      <bottom style="thin">
        <color theme="6" tint="0.39997558519241921"/>
      </bottom>
      <diagonal/>
    </border>
    <border>
      <left style="thick">
        <color theme="6" tint="-0.499984740745262"/>
      </left>
      <right style="thick">
        <color theme="6" tint="-0.499984740745262"/>
      </right>
      <top style="thick">
        <color theme="6" tint="-0.499984740745262"/>
      </top>
      <bottom style="thin">
        <color theme="6" tint="-0.499984740745262"/>
      </bottom>
      <diagonal/>
    </border>
  </borders>
  <cellStyleXfs count="4">
    <xf numFmtId="0" fontId="0" fillId="0" borderId="0"/>
    <xf numFmtId="43" fontId="2" fillId="0" borderId="0" applyFont="0" applyFill="0" applyBorder="0" applyAlignment="0" applyProtection="0"/>
    <xf numFmtId="0" fontId="3" fillId="0" borderId="1" applyNumberFormat="0" applyFill="0" applyAlignment="0" applyProtection="0"/>
    <xf numFmtId="9" fontId="2" fillId="0" borderId="0" applyFont="0" applyFill="0" applyBorder="0" applyAlignment="0" applyProtection="0"/>
  </cellStyleXfs>
  <cellXfs count="192">
    <xf numFmtId="0" fontId="0" fillId="0" borderId="0" xfId="0"/>
    <xf numFmtId="0" fontId="6" fillId="0" borderId="0" xfId="0" applyFont="1" applyFill="1" applyBorder="1" applyProtection="1">
      <protection locked="0"/>
    </xf>
    <xf numFmtId="0" fontId="11" fillId="0" borderId="2" xfId="2" applyFont="1" applyFill="1" applyBorder="1" applyProtection="1">
      <protection locked="0"/>
    </xf>
    <xf numFmtId="0" fontId="6" fillId="0" borderId="0" xfId="0" applyFont="1" applyFill="1" applyBorder="1" applyAlignment="1" applyProtection="1">
      <alignment wrapText="1"/>
      <protection locked="0"/>
    </xf>
    <xf numFmtId="0" fontId="4" fillId="0" borderId="0" xfId="0" applyFont="1"/>
    <xf numFmtId="9" fontId="0" fillId="0" borderId="0" xfId="0" applyNumberFormat="1"/>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2" fontId="15" fillId="0" borderId="6" xfId="0" applyNumberFormat="1" applyFont="1" applyBorder="1" applyAlignment="1">
      <alignment vertical="center" wrapText="1"/>
    </xf>
    <xf numFmtId="0" fontId="4" fillId="2" borderId="0" xfId="0" applyFont="1" applyFill="1"/>
    <xf numFmtId="0" fontId="0" fillId="2" borderId="0" xfId="0" applyFill="1"/>
    <xf numFmtId="9" fontId="0" fillId="2" borderId="0" xfId="0" applyNumberFormat="1" applyFill="1"/>
    <xf numFmtId="167" fontId="0" fillId="2" borderId="0" xfId="1" applyNumberFormat="1" applyFont="1" applyFill="1"/>
    <xf numFmtId="165" fontId="0" fillId="2" borderId="0" xfId="0" applyNumberFormat="1" applyFill="1"/>
    <xf numFmtId="41" fontId="0" fillId="2" borderId="0" xfId="1" applyNumberFormat="1" applyFont="1" applyFill="1"/>
    <xf numFmtId="164" fontId="0" fillId="0" borderId="0" xfId="0" applyNumberFormat="1"/>
    <xf numFmtId="1" fontId="0" fillId="0" borderId="0" xfId="0" applyNumberFormat="1"/>
    <xf numFmtId="9" fontId="0" fillId="0" borderId="0" xfId="3" applyFont="1"/>
    <xf numFmtId="0" fontId="11" fillId="0" borderId="2" xfId="2" applyFont="1" applyFill="1" applyBorder="1" applyProtection="1"/>
    <xf numFmtId="0" fontId="6" fillId="0" borderId="0" xfId="0" applyFont="1" applyFill="1" applyBorder="1" applyProtection="1"/>
    <xf numFmtId="3" fontId="0" fillId="0" borderId="0" xfId="0" applyNumberFormat="1" applyProtection="1"/>
    <xf numFmtId="9" fontId="0" fillId="0" borderId="0" xfId="0" applyNumberFormat="1" applyProtection="1"/>
    <xf numFmtId="9" fontId="0" fillId="0" borderId="0" xfId="3" applyFont="1" applyProtection="1"/>
    <xf numFmtId="164" fontId="0" fillId="0" borderId="0" xfId="0" applyNumberFormat="1" applyProtection="1"/>
    <xf numFmtId="0" fontId="0" fillId="0" borderId="0" xfId="0" applyProtection="1"/>
    <xf numFmtId="3" fontId="11" fillId="0" borderId="2" xfId="2" applyNumberFormat="1" applyFont="1" applyFill="1" applyBorder="1" applyProtection="1"/>
    <xf numFmtId="0" fontId="6" fillId="0" borderId="0" xfId="0" applyFont="1" applyFill="1" applyBorder="1" applyAlignment="1" applyProtection="1">
      <alignment wrapText="1"/>
    </xf>
    <xf numFmtId="0" fontId="4" fillId="0" borderId="0" xfId="0" applyFont="1" applyProtection="1"/>
    <xf numFmtId="3" fontId="4" fillId="0" borderId="0" xfId="0" applyNumberFormat="1" applyFont="1" applyProtection="1"/>
    <xf numFmtId="0" fontId="5" fillId="0" borderId="0" xfId="0" applyFont="1" applyFill="1" applyBorder="1" applyProtection="1"/>
    <xf numFmtId="0" fontId="5" fillId="0" borderId="7" xfId="0" applyFont="1" applyFill="1" applyBorder="1" applyProtection="1"/>
    <xf numFmtId="3" fontId="4" fillId="0" borderId="7" xfId="0" applyNumberFormat="1" applyFont="1" applyBorder="1" applyProtection="1"/>
    <xf numFmtId="0" fontId="0" fillId="0" borderId="7" xfId="0" applyBorder="1" applyProtection="1"/>
    <xf numFmtId="0" fontId="8" fillId="0" borderId="0" xfId="0" applyFont="1" applyFill="1" applyBorder="1" applyAlignment="1" applyProtection="1">
      <alignment horizontal="right"/>
    </xf>
    <xf numFmtId="0" fontId="0" fillId="0" borderId="0" xfId="0" applyProtection="1">
      <protection locked="0"/>
    </xf>
    <xf numFmtId="0" fontId="4" fillId="0" borderId="0" xfId="0" applyFont="1" applyProtection="1">
      <protection locked="0"/>
    </xf>
    <xf numFmtId="3" fontId="0" fillId="0" borderId="0" xfId="0" applyNumberFormat="1" applyProtection="1">
      <protection locked="0"/>
    </xf>
    <xf numFmtId="0" fontId="0" fillId="0" borderId="0" xfId="0" applyFont="1" applyProtection="1">
      <protection locked="0"/>
    </xf>
    <xf numFmtId="9" fontId="0" fillId="0" borderId="0" xfId="0" applyNumberFormat="1" applyProtection="1">
      <protection locked="0"/>
    </xf>
    <xf numFmtId="164" fontId="0" fillId="0" borderId="0" xfId="0" applyNumberFormat="1" applyProtection="1">
      <protection locked="0"/>
    </xf>
    <xf numFmtId="165" fontId="0" fillId="0" borderId="0" xfId="3" applyNumberFormat="1" applyFont="1" applyProtection="1">
      <protection locked="0"/>
    </xf>
    <xf numFmtId="167" fontId="0" fillId="0" borderId="0" xfId="1" applyNumberFormat="1" applyFont="1" applyProtection="1">
      <protection locked="0"/>
    </xf>
    <xf numFmtId="9" fontId="0" fillId="0" borderId="0" xfId="3" applyFont="1" applyProtection="1">
      <protection locked="0"/>
    </xf>
    <xf numFmtId="169" fontId="0" fillId="0" borderId="0" xfId="0" applyNumberFormat="1" applyProtection="1">
      <protection locked="0"/>
    </xf>
    <xf numFmtId="168" fontId="0" fillId="0" borderId="0" xfId="0" applyNumberFormat="1" applyProtection="1">
      <protection locked="0"/>
    </xf>
    <xf numFmtId="4" fontId="0" fillId="0" borderId="0" xfId="0" applyNumberFormat="1" applyProtection="1">
      <protection locked="0"/>
    </xf>
    <xf numFmtId="168" fontId="0" fillId="0" borderId="0" xfId="0" applyNumberFormat="1" applyProtection="1"/>
    <xf numFmtId="169" fontId="0" fillId="0" borderId="0" xfId="0" applyNumberFormat="1" applyProtection="1"/>
    <xf numFmtId="9" fontId="0" fillId="2" borderId="0" xfId="3" applyFont="1" applyFill="1"/>
    <xf numFmtId="9" fontId="4" fillId="0" borderId="0" xfId="3" applyFont="1"/>
    <xf numFmtId="0" fontId="11" fillId="0" borderId="2" xfId="2" applyFont="1" applyFill="1" applyBorder="1" applyAlignment="1" applyProtection="1">
      <alignment wrapText="1"/>
      <protection locked="0"/>
    </xf>
    <xf numFmtId="0" fontId="4"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Alignment="1">
      <alignment wrapText="1"/>
    </xf>
    <xf numFmtId="0" fontId="11" fillId="0" borderId="0" xfId="2" applyFont="1" applyFill="1" applyBorder="1" applyAlignment="1" applyProtection="1">
      <alignment wrapText="1"/>
      <protection locked="0"/>
    </xf>
    <xf numFmtId="2" fontId="0" fillId="0" borderId="0" xfId="0" applyNumberFormat="1"/>
    <xf numFmtId="1" fontId="0" fillId="0" borderId="0" xfId="1" applyNumberFormat="1" applyFont="1" applyProtection="1">
      <protection locked="0"/>
    </xf>
    <xf numFmtId="1" fontId="0" fillId="0" borderId="0" xfId="1" applyNumberFormat="1" applyFont="1" applyProtection="1"/>
    <xf numFmtId="1" fontId="0" fillId="0" borderId="7" xfId="0" applyNumberFormat="1" applyBorder="1" applyProtection="1"/>
    <xf numFmtId="49" fontId="0" fillId="0" borderId="0" xfId="0" applyNumberFormat="1"/>
    <xf numFmtId="164" fontId="0" fillId="0" borderId="0" xfId="1" applyNumberFormat="1" applyFont="1" applyProtection="1">
      <protection locked="0"/>
    </xf>
    <xf numFmtId="0" fontId="11" fillId="0" borderId="0" xfId="2" applyFont="1" applyFill="1" applyBorder="1" applyProtection="1">
      <protection locked="0"/>
    </xf>
    <xf numFmtId="1" fontId="4" fillId="0" borderId="0" xfId="0" applyNumberFormat="1" applyFont="1" applyProtection="1"/>
    <xf numFmtId="0" fontId="0" fillId="4" borderId="8" xfId="0" applyFill="1" applyBorder="1" applyProtection="1">
      <protection locked="0"/>
    </xf>
    <xf numFmtId="0" fontId="0" fillId="4" borderId="9" xfId="0" applyFill="1" applyBorder="1" applyProtection="1">
      <protection locked="0"/>
    </xf>
    <xf numFmtId="0" fontId="0" fillId="0" borderId="0" xfId="0" applyBorder="1"/>
    <xf numFmtId="0" fontId="0" fillId="0" borderId="0" xfId="0" applyFill="1" applyBorder="1"/>
    <xf numFmtId="0" fontId="4" fillId="0" borderId="0" xfId="0" applyFont="1" applyFill="1" applyBorder="1"/>
    <xf numFmtId="0" fontId="4" fillId="0" borderId="0" xfId="0" applyFont="1" applyFill="1" applyBorder="1" applyAlignment="1">
      <alignment horizontal="center"/>
    </xf>
    <xf numFmtId="1" fontId="0" fillId="0" borderId="0" xfId="0" applyNumberFormat="1" applyFill="1" applyBorder="1"/>
    <xf numFmtId="1" fontId="4" fillId="0" borderId="0" xfId="0" applyNumberFormat="1" applyFont="1" applyFill="1" applyBorder="1" applyAlignment="1">
      <alignment horizontal="center"/>
    </xf>
    <xf numFmtId="0" fontId="0" fillId="0" borderId="12" xfId="0" applyFill="1" applyBorder="1"/>
    <xf numFmtId="0" fontId="0" fillId="0" borderId="13" xfId="0" applyFill="1" applyBorder="1"/>
    <xf numFmtId="0" fontId="0" fillId="0" borderId="13" xfId="0" applyBorder="1"/>
    <xf numFmtId="0" fontId="0" fillId="0" borderId="14" xfId="0" applyBorder="1"/>
    <xf numFmtId="0" fontId="0" fillId="0" borderId="15" xfId="0" applyFill="1" applyBorder="1"/>
    <xf numFmtId="0" fontId="0" fillId="0" borderId="16" xfId="0" applyBorder="1"/>
    <xf numFmtId="0" fontId="0" fillId="0" borderId="15" xfId="0" applyBorder="1"/>
    <xf numFmtId="0" fontId="0" fillId="0" borderId="17" xfId="0" applyBorder="1"/>
    <xf numFmtId="0" fontId="0" fillId="0" borderId="18" xfId="0" applyBorder="1"/>
    <xf numFmtId="0" fontId="0" fillId="0" borderId="19" xfId="0" applyBorder="1"/>
    <xf numFmtId="165" fontId="0" fillId="0" borderId="0" xfId="0" applyNumberFormat="1" applyProtection="1">
      <protection locked="0"/>
    </xf>
    <xf numFmtId="41" fontId="0" fillId="0" borderId="0" xfId="1" applyNumberFormat="1" applyFont="1" applyProtection="1">
      <protection locked="0"/>
    </xf>
    <xf numFmtId="1" fontId="15" fillId="0" borderId="6" xfId="0" applyNumberFormat="1" applyFont="1" applyBorder="1" applyAlignment="1">
      <alignment vertical="center" wrapText="1"/>
    </xf>
    <xf numFmtId="170" fontId="15" fillId="0" borderId="6" xfId="0" applyNumberFormat="1" applyFont="1" applyBorder="1" applyAlignment="1">
      <alignment vertical="center" wrapText="1"/>
    </xf>
    <xf numFmtId="0" fontId="0" fillId="0" borderId="20" xfId="0" applyFont="1" applyBorder="1"/>
    <xf numFmtId="0" fontId="0" fillId="0" borderId="20" xfId="0" applyFont="1" applyBorder="1" applyProtection="1">
      <protection locked="0"/>
    </xf>
    <xf numFmtId="0" fontId="0" fillId="2" borderId="20" xfId="0" applyFont="1" applyFill="1" applyBorder="1"/>
    <xf numFmtId="0" fontId="0" fillId="0" borderId="20" xfId="0" applyBorder="1"/>
    <xf numFmtId="0" fontId="0" fillId="0" borderId="20" xfId="0" applyBorder="1" applyProtection="1">
      <protection locked="0"/>
    </xf>
    <xf numFmtId="166" fontId="0" fillId="2" borderId="20" xfId="1" applyNumberFormat="1" applyFont="1" applyFill="1" applyBorder="1"/>
    <xf numFmtId="9" fontId="0" fillId="0" borderId="20" xfId="0" applyNumberFormat="1" applyBorder="1" applyProtection="1">
      <protection locked="0"/>
    </xf>
    <xf numFmtId="9" fontId="0" fillId="2" borderId="20" xfId="0" applyNumberFormat="1" applyFill="1" applyBorder="1"/>
    <xf numFmtId="0" fontId="0" fillId="2" borderId="20" xfId="0" applyFill="1" applyBorder="1"/>
    <xf numFmtId="0" fontId="0" fillId="0" borderId="0" xfId="0" applyAlignment="1"/>
    <xf numFmtId="0" fontId="0" fillId="0" borderId="20" xfId="0" applyFont="1" applyBorder="1" applyAlignment="1">
      <alignment wrapText="1"/>
    </xf>
    <xf numFmtId="0" fontId="0" fillId="0" borderId="20" xfId="0" applyBorder="1" applyAlignment="1">
      <alignment wrapText="1"/>
    </xf>
    <xf numFmtId="0" fontId="28" fillId="0" borderId="0" xfId="0" applyFont="1" applyBorder="1" applyAlignment="1">
      <alignment vertical="center" wrapText="1"/>
    </xf>
    <xf numFmtId="2" fontId="15" fillId="0" borderId="0" xfId="0" applyNumberFormat="1" applyFont="1" applyBorder="1" applyAlignment="1">
      <alignment vertical="center" wrapText="1"/>
    </xf>
    <xf numFmtId="170" fontId="15" fillId="0" borderId="0" xfId="0" applyNumberFormat="1" applyFont="1" applyBorder="1" applyAlignment="1">
      <alignment vertical="center" wrapText="1"/>
    </xf>
    <xf numFmtId="0" fontId="32" fillId="0" borderId="2" xfId="2" applyFont="1" applyFill="1" applyBorder="1" applyProtection="1">
      <protection locked="0"/>
    </xf>
    <xf numFmtId="0" fontId="32" fillId="0" borderId="0" xfId="2" applyFont="1" applyFill="1" applyBorder="1" applyProtection="1">
      <protection locked="0"/>
    </xf>
    <xf numFmtId="0" fontId="32" fillId="0" borderId="0" xfId="2" applyFont="1" applyFill="1" applyBorder="1" applyAlignment="1" applyProtection="1">
      <alignment wrapText="1"/>
      <protection locked="0"/>
    </xf>
    <xf numFmtId="171" fontId="0" fillId="0" borderId="0" xfId="0" applyNumberFormat="1" applyProtection="1"/>
    <xf numFmtId="1" fontId="0" fillId="0" borderId="0" xfId="0" applyNumberFormat="1" applyProtection="1"/>
    <xf numFmtId="0" fontId="0" fillId="0" borderId="0" xfId="0" quotePrefix="1" applyProtection="1">
      <protection locked="0"/>
    </xf>
    <xf numFmtId="172" fontId="0" fillId="0" borderId="0" xfId="0" applyNumberFormat="1"/>
    <xf numFmtId="172" fontId="0" fillId="2" borderId="0" xfId="0" applyNumberFormat="1" applyFill="1"/>
    <xf numFmtId="0" fontId="33" fillId="0" borderId="0" xfId="0" applyFont="1"/>
    <xf numFmtId="4" fontId="0" fillId="0" borderId="0" xfId="0" applyNumberFormat="1" applyProtection="1"/>
    <xf numFmtId="0" fontId="11" fillId="0" borderId="2" xfId="2" applyFont="1" applyFill="1" applyBorder="1" applyAlignment="1" applyProtection="1">
      <alignment horizontal="center" wrapText="1"/>
    </xf>
    <xf numFmtId="9" fontId="4" fillId="0" borderId="0" xfId="3" applyFont="1" applyProtection="1"/>
    <xf numFmtId="2" fontId="0" fillId="0" borderId="0" xfId="0" applyNumberFormat="1" applyProtection="1"/>
    <xf numFmtId="2" fontId="4" fillId="0" borderId="0" xfId="3" applyNumberFormat="1" applyFont="1" applyProtection="1"/>
    <xf numFmtId="9" fontId="4" fillId="0" borderId="0" xfId="3" applyFont="1" applyProtection="1">
      <protection locked="0"/>
    </xf>
    <xf numFmtId="168" fontId="0" fillId="0" borderId="0" xfId="0" applyNumberFormat="1"/>
    <xf numFmtId="3" fontId="0" fillId="0" borderId="0" xfId="0" applyNumberFormat="1"/>
    <xf numFmtId="0" fontId="5" fillId="0" borderId="0" xfId="0" applyFont="1" applyFill="1" applyBorder="1" applyAlignment="1" applyProtection="1">
      <alignment wrapText="1"/>
    </xf>
    <xf numFmtId="0" fontId="0" fillId="7" borderId="21" xfId="0" applyFont="1" applyFill="1" applyBorder="1"/>
    <xf numFmtId="0" fontId="35" fillId="0" borderId="0" xfId="0" applyFont="1"/>
    <xf numFmtId="0" fontId="0" fillId="6" borderId="25" xfId="0" applyFont="1" applyFill="1" applyBorder="1"/>
    <xf numFmtId="0" fontId="23" fillId="5" borderId="11" xfId="0" applyFont="1" applyFill="1" applyBorder="1"/>
    <xf numFmtId="0" fontId="23" fillId="5" borderId="27" xfId="0" applyFont="1" applyFill="1" applyBorder="1" applyAlignment="1">
      <alignment wrapText="1"/>
    </xf>
    <xf numFmtId="0" fontId="23" fillId="5" borderId="28" xfId="0" applyFont="1" applyFill="1" applyBorder="1" applyAlignment="1">
      <alignment wrapText="1"/>
    </xf>
    <xf numFmtId="0" fontId="0" fillId="6" borderId="29" xfId="0" applyFont="1" applyFill="1" applyBorder="1"/>
    <xf numFmtId="0" fontId="25" fillId="6" borderId="26" xfId="0" applyFont="1" applyFill="1" applyBorder="1"/>
    <xf numFmtId="49" fontId="25" fillId="6" borderId="26" xfId="0" applyNumberFormat="1" applyFont="1" applyFill="1" applyBorder="1"/>
    <xf numFmtId="0" fontId="0" fillId="6" borderId="26" xfId="0" applyFont="1" applyFill="1" applyBorder="1"/>
    <xf numFmtId="0" fontId="0" fillId="6" borderId="30" xfId="0" applyFont="1" applyFill="1" applyBorder="1"/>
    <xf numFmtId="0" fontId="0" fillId="7" borderId="31" xfId="0" applyFont="1" applyFill="1" applyBorder="1"/>
    <xf numFmtId="0" fontId="26" fillId="7" borderId="25" xfId="0" applyFont="1" applyFill="1" applyBorder="1"/>
    <xf numFmtId="49" fontId="26" fillId="7" borderId="25" xfId="0" applyNumberFormat="1" applyFont="1" applyFill="1" applyBorder="1"/>
    <xf numFmtId="0" fontId="0" fillId="7" borderId="25" xfId="0" applyFont="1" applyFill="1" applyBorder="1"/>
    <xf numFmtId="0" fontId="0" fillId="7" borderId="32" xfId="0" applyFont="1" applyFill="1" applyBorder="1"/>
    <xf numFmtId="0" fontId="0" fillId="6" borderId="31" xfId="0" applyFont="1" applyFill="1" applyBorder="1"/>
    <xf numFmtId="0" fontId="25" fillId="6" borderId="25" xfId="0" applyFont="1" applyFill="1" applyBorder="1"/>
    <xf numFmtId="49" fontId="25" fillId="6" borderId="25" xfId="0" applyNumberFormat="1" applyFont="1" applyFill="1" applyBorder="1"/>
    <xf numFmtId="0" fontId="0" fillId="6" borderId="32" xfId="0" applyFont="1" applyFill="1" applyBorder="1"/>
    <xf numFmtId="0" fontId="0" fillId="7" borderId="33" xfId="0" applyFont="1" applyFill="1" applyBorder="1"/>
    <xf numFmtId="0" fontId="26" fillId="7" borderId="34" xfId="0" applyFont="1" applyFill="1" applyBorder="1"/>
    <xf numFmtId="49" fontId="26" fillId="7" borderId="34" xfId="0" applyNumberFormat="1" applyFont="1" applyFill="1" applyBorder="1"/>
    <xf numFmtId="0" fontId="0" fillId="7" borderId="34" xfId="0" applyFont="1" applyFill="1" applyBorder="1"/>
    <xf numFmtId="0" fontId="32" fillId="0" borderId="2" xfId="2" applyFont="1" applyFill="1" applyBorder="1" applyProtection="1"/>
    <xf numFmtId="0" fontId="32" fillId="0" borderId="0" xfId="2" applyFont="1" applyFill="1" applyBorder="1" applyAlignment="1" applyProtection="1">
      <alignment wrapText="1"/>
    </xf>
    <xf numFmtId="3" fontId="33" fillId="0" borderId="0" xfId="0" applyNumberFormat="1" applyFont="1" applyProtection="1"/>
    <xf numFmtId="0" fontId="23" fillId="5" borderId="9" xfId="0" applyFont="1" applyFill="1" applyBorder="1"/>
    <xf numFmtId="0" fontId="23" fillId="5" borderId="10" xfId="0" applyFont="1" applyFill="1" applyBorder="1" applyAlignment="1">
      <alignment horizontal="center"/>
    </xf>
    <xf numFmtId="0" fontId="0" fillId="7" borderId="35" xfId="0" applyFont="1" applyFill="1" applyBorder="1"/>
    <xf numFmtId="1" fontId="0" fillId="7" borderId="36" xfId="0" applyNumberFormat="1" applyFont="1" applyFill="1" applyBorder="1"/>
    <xf numFmtId="1" fontId="4" fillId="7" borderId="37" xfId="0" applyNumberFormat="1" applyFont="1" applyFill="1" applyBorder="1" applyAlignment="1">
      <alignment horizontal="center"/>
    </xf>
    <xf numFmtId="0" fontId="0" fillId="0" borderId="35" xfId="0" applyFont="1" applyBorder="1"/>
    <xf numFmtId="1" fontId="0" fillId="0" borderId="36" xfId="0" applyNumberFormat="1" applyFont="1" applyBorder="1"/>
    <xf numFmtId="1" fontId="4" fillId="0" borderId="37" xfId="0" applyNumberFormat="1" applyFont="1" applyBorder="1" applyAlignment="1">
      <alignment horizontal="center"/>
    </xf>
    <xf numFmtId="0" fontId="0" fillId="0" borderId="22" xfId="0" applyFont="1" applyBorder="1"/>
    <xf numFmtId="1" fontId="0" fillId="0" borderId="23" xfId="0" applyNumberFormat="1" applyFont="1" applyBorder="1"/>
    <xf numFmtId="1" fontId="4" fillId="0" borderId="24" xfId="0" applyNumberFormat="1" applyFont="1" applyBorder="1" applyAlignment="1">
      <alignment horizontal="center"/>
    </xf>
    <xf numFmtId="3" fontId="0" fillId="7" borderId="36" xfId="0" applyNumberFormat="1" applyFont="1" applyFill="1" applyBorder="1"/>
    <xf numFmtId="3" fontId="0" fillId="0" borderId="36" xfId="0" applyNumberFormat="1" applyFont="1" applyBorder="1"/>
    <xf numFmtId="0" fontId="11" fillId="0" borderId="2" xfId="2" quotePrefix="1" applyFont="1" applyFill="1" applyBorder="1" applyProtection="1">
      <protection locked="0"/>
    </xf>
    <xf numFmtId="0" fontId="32" fillId="0" borderId="2" xfId="2" quotePrefix="1" applyFont="1" applyFill="1" applyBorder="1" applyProtection="1">
      <protection locked="0"/>
    </xf>
    <xf numFmtId="0" fontId="11" fillId="0" borderId="2" xfId="2" quotePrefix="1" applyFont="1" applyFill="1" applyBorder="1" applyAlignment="1" applyProtection="1">
      <alignment horizontal="center" wrapText="1"/>
      <protection locked="0"/>
    </xf>
    <xf numFmtId="0" fontId="33" fillId="0" borderId="0" xfId="0" applyFont="1" applyProtection="1"/>
    <xf numFmtId="3" fontId="32" fillId="0" borderId="2" xfId="2" applyNumberFormat="1" applyFont="1" applyFill="1" applyBorder="1" applyProtection="1"/>
    <xf numFmtId="3" fontId="23" fillId="0" borderId="7" xfId="0" applyNumberFormat="1" applyFont="1" applyBorder="1" applyProtection="1"/>
    <xf numFmtId="0" fontId="33" fillId="0" borderId="0" xfId="0" applyFont="1" applyAlignment="1">
      <alignment wrapText="1"/>
    </xf>
    <xf numFmtId="164" fontId="0" fillId="7" borderId="36" xfId="0" applyNumberFormat="1" applyFont="1" applyFill="1" applyBorder="1"/>
    <xf numFmtId="164" fontId="0" fillId="0" borderId="36" xfId="0" applyNumberFormat="1" applyFont="1" applyBorder="1"/>
    <xf numFmtId="164" fontId="0" fillId="0" borderId="23" xfId="0" applyNumberFormat="1" applyFont="1" applyBorder="1"/>
    <xf numFmtId="0" fontId="36" fillId="0" borderId="0" xfId="0" applyFont="1" applyFill="1" applyBorder="1" applyAlignment="1">
      <alignment vertical="center"/>
    </xf>
    <xf numFmtId="9" fontId="15" fillId="0" borderId="4" xfId="3" applyFont="1" applyBorder="1" applyAlignment="1">
      <alignment vertical="center" wrapText="1"/>
    </xf>
    <xf numFmtId="0" fontId="23" fillId="5" borderId="38" xfId="0" applyFont="1" applyFill="1" applyBorder="1"/>
    <xf numFmtId="0" fontId="23" fillId="5" borderId="10" xfId="0" applyFont="1" applyFill="1" applyBorder="1"/>
    <xf numFmtId="3" fontId="0" fillId="7" borderId="37" xfId="0" applyNumberFormat="1" applyFont="1" applyFill="1" applyBorder="1"/>
    <xf numFmtId="3" fontId="0" fillId="0" borderId="37" xfId="0" applyNumberFormat="1" applyFont="1" applyBorder="1"/>
    <xf numFmtId="3" fontId="0" fillId="0" borderId="23" xfId="0" applyNumberFormat="1" applyFont="1" applyBorder="1"/>
    <xf numFmtId="3" fontId="0" fillId="0" borderId="24" xfId="0" applyNumberFormat="1" applyFont="1" applyBorder="1"/>
    <xf numFmtId="0" fontId="23" fillId="5" borderId="39" xfId="0" applyFont="1" applyFill="1" applyBorder="1"/>
    <xf numFmtId="0" fontId="23" fillId="5" borderId="0" xfId="0" applyFont="1" applyFill="1" applyBorder="1"/>
    <xf numFmtId="0" fontId="23" fillId="5" borderId="40" xfId="0" applyFont="1" applyFill="1" applyBorder="1"/>
    <xf numFmtId="0" fontId="11" fillId="0" borderId="2" xfId="2" applyFont="1" applyFill="1" applyBorder="1" applyAlignment="1" applyProtection="1">
      <alignment wrapText="1"/>
    </xf>
    <xf numFmtId="0" fontId="4" fillId="0" borderId="0" xfId="0" applyFont="1" applyAlignment="1" applyProtection="1">
      <alignment wrapText="1"/>
    </xf>
    <xf numFmtId="0" fontId="0" fillId="0" borderId="0" xfId="0" applyFont="1" applyProtection="1"/>
    <xf numFmtId="165" fontId="0" fillId="0" borderId="0" xfId="3" applyNumberFormat="1" applyFont="1" applyProtection="1"/>
    <xf numFmtId="165" fontId="0" fillId="0" borderId="0" xfId="3" applyNumberFormat="1" applyFont="1"/>
    <xf numFmtId="0" fontId="15" fillId="0" borderId="0" xfId="0" applyFont="1" applyBorder="1" applyAlignment="1">
      <alignment vertical="center" wrapText="1"/>
    </xf>
    <xf numFmtId="0" fontId="28" fillId="0" borderId="0" xfId="0" applyFont="1" applyFill="1" applyBorder="1" applyAlignment="1">
      <alignment vertical="center" wrapText="1"/>
    </xf>
    <xf numFmtId="0" fontId="29" fillId="0" borderId="0" xfId="0" applyFont="1" applyBorder="1"/>
    <xf numFmtId="49" fontId="32" fillId="0" borderId="2" xfId="2" applyNumberFormat="1" applyFont="1" applyFill="1" applyBorder="1" applyProtection="1"/>
    <xf numFmtId="0" fontId="23" fillId="3" borderId="9" xfId="0" applyFont="1" applyFill="1" applyBorder="1" applyAlignment="1" applyProtection="1">
      <alignment horizontal="center"/>
      <protection locked="0"/>
    </xf>
    <xf numFmtId="0" fontId="23" fillId="3" borderId="10" xfId="0" applyFont="1" applyFill="1" applyBorder="1" applyAlignment="1" applyProtection="1">
      <alignment horizontal="center"/>
      <protection locked="0"/>
    </xf>
  </cellXfs>
  <cellStyles count="4">
    <cellStyle name="Komma" xfId="1" builtinId="3"/>
    <cellStyle name="Normal" xfId="0" builtinId="0"/>
    <cellStyle name="Overskrift 2" xfId="2" builtinId="17"/>
    <cellStyle name="Prosent" xfId="3" builtinId="5"/>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Forsyningskjeder!$B$19</c:f>
              <c:strCache>
                <c:ptCount val="1"/>
                <c:pt idx="0">
                  <c:v>Hogst</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Forsyningskjeder!$B$20:$B$27</c:f>
              <c:numCache>
                <c:formatCode>0</c:formatCode>
                <c:ptCount val="8"/>
                <c:pt idx="0">
                  <c:v>118.68610563367044</c:v>
                </c:pt>
                <c:pt idx="1">
                  <c:v>137.88012296808418</c:v>
                </c:pt>
                <c:pt idx="2">
                  <c:v>137.88012296808418</c:v>
                </c:pt>
                <c:pt idx="3">
                  <c:v>137.88012296808418</c:v>
                </c:pt>
                <c:pt idx="4">
                  <c:v>0</c:v>
                </c:pt>
                <c:pt idx="5">
                  <c:v>0</c:v>
                </c:pt>
                <c:pt idx="6">
                  <c:v>0</c:v>
                </c:pt>
                <c:pt idx="7">
                  <c:v>0</c:v>
                </c:pt>
              </c:numCache>
            </c:numRef>
          </c:val>
        </c:ser>
        <c:ser>
          <c:idx val="1"/>
          <c:order val="1"/>
          <c:tx>
            <c:strRef>
              <c:f>Forsyningskjeder!$C$19</c:f>
              <c:strCache>
                <c:ptCount val="1"/>
                <c:pt idx="0">
                  <c:v>Bunting</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Forsyningskjeder!$C$20:$C$27</c:f>
              <c:numCache>
                <c:formatCode>0</c:formatCode>
                <c:ptCount val="8"/>
                <c:pt idx="0">
                  <c:v>0</c:v>
                </c:pt>
                <c:pt idx="1">
                  <c:v>0</c:v>
                </c:pt>
                <c:pt idx="2">
                  <c:v>0</c:v>
                </c:pt>
                <c:pt idx="3">
                  <c:v>0</c:v>
                </c:pt>
                <c:pt idx="4">
                  <c:v>0</c:v>
                </c:pt>
                <c:pt idx="5">
                  <c:v>0</c:v>
                </c:pt>
                <c:pt idx="6">
                  <c:v>0</c:v>
                </c:pt>
                <c:pt idx="7">
                  <c:v>0</c:v>
                </c:pt>
              </c:numCache>
            </c:numRef>
          </c:val>
        </c:ser>
        <c:ser>
          <c:idx val="2"/>
          <c:order val="2"/>
          <c:tx>
            <c:strRef>
              <c:f>Forsyningskjeder!$D$19</c:f>
              <c:strCache>
                <c:ptCount val="1"/>
                <c:pt idx="0">
                  <c:v>Terrengtransport</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Forsyningskjeder!$D$20:$D$27</c:f>
              <c:numCache>
                <c:formatCode>0</c:formatCode>
                <c:ptCount val="8"/>
                <c:pt idx="0">
                  <c:v>79.583731822429371</c:v>
                </c:pt>
                <c:pt idx="1">
                  <c:v>82.903897483293946</c:v>
                </c:pt>
                <c:pt idx="2">
                  <c:v>79.583731822429371</c:v>
                </c:pt>
                <c:pt idx="3">
                  <c:v>79.583731822429371</c:v>
                </c:pt>
                <c:pt idx="4">
                  <c:v>0</c:v>
                </c:pt>
                <c:pt idx="5">
                  <c:v>0</c:v>
                </c:pt>
                <c:pt idx="6">
                  <c:v>0</c:v>
                </c:pt>
                <c:pt idx="7">
                  <c:v>0</c:v>
                </c:pt>
              </c:numCache>
            </c:numRef>
          </c:val>
        </c:ser>
        <c:ser>
          <c:idx val="3"/>
          <c:order val="3"/>
          <c:tx>
            <c:strRef>
              <c:f>Forsyningskjeder!$E$19</c:f>
              <c:strCache>
                <c:ptCount val="1"/>
                <c:pt idx="0">
                  <c:v>Flishogging lunneplass</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Forsyningskjeder!$E$20:$E$27</c:f>
              <c:numCache>
                <c:formatCode>0</c:formatCode>
                <c:ptCount val="8"/>
                <c:pt idx="0">
                  <c:v>131.14463196167085</c:v>
                </c:pt>
                <c:pt idx="1">
                  <c:v>0</c:v>
                </c:pt>
                <c:pt idx="2">
                  <c:v>76.546320689192399</c:v>
                </c:pt>
                <c:pt idx="3">
                  <c:v>102.28317907902284</c:v>
                </c:pt>
                <c:pt idx="4">
                  <c:v>0</c:v>
                </c:pt>
                <c:pt idx="5">
                  <c:v>0</c:v>
                </c:pt>
                <c:pt idx="6">
                  <c:v>0</c:v>
                </c:pt>
                <c:pt idx="7">
                  <c:v>0</c:v>
                </c:pt>
              </c:numCache>
            </c:numRef>
          </c:val>
        </c:ser>
        <c:ser>
          <c:idx val="4"/>
          <c:order val="4"/>
          <c:tx>
            <c:strRef>
              <c:f>Forsyningskjeder!$F$19</c:f>
              <c:strCache>
                <c:ptCount val="1"/>
                <c:pt idx="0">
                  <c:v>Vegtrans1</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Forsyningskjeder!$F$20:$F$27</c:f>
              <c:numCache>
                <c:formatCode>0</c:formatCode>
                <c:ptCount val="8"/>
                <c:pt idx="0">
                  <c:v>92.02350832806242</c:v>
                </c:pt>
                <c:pt idx="1">
                  <c:v>172.91548614666894</c:v>
                </c:pt>
                <c:pt idx="2">
                  <c:v>92.02350832806242</c:v>
                </c:pt>
                <c:pt idx="3">
                  <c:v>94.635331812751176</c:v>
                </c:pt>
                <c:pt idx="4">
                  <c:v>0</c:v>
                </c:pt>
                <c:pt idx="5">
                  <c:v>0</c:v>
                </c:pt>
                <c:pt idx="6">
                  <c:v>0</c:v>
                </c:pt>
                <c:pt idx="7">
                  <c:v>0</c:v>
                </c:pt>
              </c:numCache>
            </c:numRef>
          </c:val>
        </c:ser>
        <c:ser>
          <c:idx val="5"/>
          <c:order val="5"/>
          <c:tx>
            <c:strRef>
              <c:f>Forsyningskjeder!$G$19</c:f>
              <c:strCache>
                <c:ptCount val="1"/>
                <c:pt idx="0">
                  <c:v>Flishogging terminal</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Forsyningskjeder!$G$20:$G$27</c:f>
              <c:numCache>
                <c:formatCode>0</c:formatCode>
                <c:ptCount val="8"/>
                <c:pt idx="0">
                  <c:v>0</c:v>
                </c:pt>
                <c:pt idx="1">
                  <c:v>49.115076783383266</c:v>
                </c:pt>
                <c:pt idx="2">
                  <c:v>0</c:v>
                </c:pt>
                <c:pt idx="3">
                  <c:v>0</c:v>
                </c:pt>
                <c:pt idx="4">
                  <c:v>0</c:v>
                </c:pt>
                <c:pt idx="5">
                  <c:v>0</c:v>
                </c:pt>
                <c:pt idx="6">
                  <c:v>0</c:v>
                </c:pt>
                <c:pt idx="7">
                  <c:v>0</c:v>
                </c:pt>
              </c:numCache>
            </c:numRef>
          </c:val>
        </c:ser>
        <c:ser>
          <c:idx val="6"/>
          <c:order val="6"/>
          <c:tx>
            <c:strRef>
              <c:f>Forsyningskjeder!$H$19</c:f>
              <c:strCache>
                <c:ptCount val="1"/>
                <c:pt idx="0">
                  <c:v>Vegtrans2</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Forsyningskjeder!$H$20:$H$27</c:f>
              <c:numCache>
                <c:formatCode>0</c:formatCode>
                <c:ptCount val="8"/>
                <c:pt idx="0">
                  <c:v>36.128824725236854</c:v>
                </c:pt>
                <c:pt idx="1">
                  <c:v>36.128824725236854</c:v>
                </c:pt>
                <c:pt idx="2">
                  <c:v>36.128824725236854</c:v>
                </c:pt>
                <c:pt idx="3">
                  <c:v>0</c:v>
                </c:pt>
                <c:pt idx="4">
                  <c:v>0</c:v>
                </c:pt>
                <c:pt idx="5">
                  <c:v>0</c:v>
                </c:pt>
                <c:pt idx="6">
                  <c:v>0</c:v>
                </c:pt>
                <c:pt idx="7">
                  <c:v>0</c:v>
                </c:pt>
              </c:numCache>
            </c:numRef>
          </c:val>
        </c:ser>
        <c:ser>
          <c:idx val="7"/>
          <c:order val="7"/>
          <c:tx>
            <c:strRef>
              <c:f>Forsyningskjeder!$I$19</c:f>
              <c:strCache>
                <c:ptCount val="1"/>
                <c:pt idx="0">
                  <c:v>Lagerkostnader</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Forsyningskjeder!$I$20:$I$27</c:f>
              <c:numCache>
                <c:formatCode>0</c:formatCode>
                <c:ptCount val="8"/>
                <c:pt idx="0">
                  <c:v>16.643808638259273</c:v>
                </c:pt>
                <c:pt idx="1">
                  <c:v>24.820066577482013</c:v>
                </c:pt>
                <c:pt idx="2">
                  <c:v>16.643808638259273</c:v>
                </c:pt>
                <c:pt idx="3">
                  <c:v>7.2383840323698703</c:v>
                </c:pt>
                <c:pt idx="4">
                  <c:v>0</c:v>
                </c:pt>
                <c:pt idx="5">
                  <c:v>0</c:v>
                </c:pt>
                <c:pt idx="6">
                  <c:v>0</c:v>
                </c:pt>
                <c:pt idx="7">
                  <c:v>0</c:v>
                </c:pt>
              </c:numCache>
            </c:numRef>
          </c:val>
        </c:ser>
        <c:dLbls>
          <c:showLegendKey val="0"/>
          <c:showVal val="0"/>
          <c:showCatName val="0"/>
          <c:showSerName val="0"/>
          <c:showPercent val="0"/>
          <c:showBubbleSize val="0"/>
        </c:dLbls>
        <c:gapWidth val="65"/>
        <c:overlap val="100"/>
        <c:axId val="313858688"/>
        <c:axId val="314425728"/>
      </c:barChart>
      <c:catAx>
        <c:axId val="313858688"/>
        <c:scaling>
          <c:orientation val="minMax"/>
        </c:scaling>
        <c:delete val="0"/>
        <c:axPos val="b"/>
        <c:majorTickMark val="out"/>
        <c:minorTickMark val="none"/>
        <c:tickLblPos val="nextTo"/>
        <c:crossAx val="314425728"/>
        <c:crosses val="autoZero"/>
        <c:auto val="1"/>
        <c:lblAlgn val="ctr"/>
        <c:lblOffset val="100"/>
        <c:noMultiLvlLbl val="0"/>
      </c:catAx>
      <c:valAx>
        <c:axId val="314425728"/>
        <c:scaling>
          <c:orientation val="minMax"/>
        </c:scaling>
        <c:delete val="0"/>
        <c:axPos val="l"/>
        <c:majorGridlines/>
        <c:title>
          <c:tx>
            <c:rich>
              <a:bodyPr rot="-5400000" vert="horz"/>
              <a:lstStyle/>
              <a:p>
                <a:pPr>
                  <a:defRPr/>
                </a:pPr>
                <a:r>
                  <a:rPr lang="en-US"/>
                  <a:t>kr per fm</a:t>
                </a:r>
                <a:r>
                  <a:rPr lang="en-US" baseline="30000"/>
                  <a:t>3</a:t>
                </a:r>
              </a:p>
            </c:rich>
          </c:tx>
          <c:layout/>
          <c:overlay val="0"/>
        </c:title>
        <c:numFmt formatCode="0" sourceLinked="1"/>
        <c:majorTickMark val="out"/>
        <c:minorTickMark val="none"/>
        <c:tickLblPos val="nextTo"/>
        <c:crossAx val="3138586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Forsyningskjeder!$B$44</c:f>
              <c:strCache>
                <c:ptCount val="1"/>
                <c:pt idx="0">
                  <c:v>Hogst</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Forsyningskjeder!$B$45:$B$52</c:f>
              <c:numCache>
                <c:formatCode>0</c:formatCode>
                <c:ptCount val="8"/>
                <c:pt idx="0">
                  <c:v>6.0270288017098261</c:v>
                </c:pt>
                <c:pt idx="1">
                  <c:v>7.0017249944730242</c:v>
                </c:pt>
                <c:pt idx="2">
                  <c:v>7.0017249944730242</c:v>
                </c:pt>
                <c:pt idx="3">
                  <c:v>7.0017249944730242</c:v>
                </c:pt>
                <c:pt idx="4">
                  <c:v>0</c:v>
                </c:pt>
                <c:pt idx="5">
                  <c:v>0</c:v>
                </c:pt>
                <c:pt idx="6">
                  <c:v>0</c:v>
                </c:pt>
                <c:pt idx="7">
                  <c:v>0</c:v>
                </c:pt>
              </c:numCache>
            </c:numRef>
          </c:val>
        </c:ser>
        <c:ser>
          <c:idx val="1"/>
          <c:order val="1"/>
          <c:tx>
            <c:strRef>
              <c:f>Forsyningskjeder!$C$44</c:f>
              <c:strCache>
                <c:ptCount val="1"/>
                <c:pt idx="0">
                  <c:v>Bunting</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Forsyningskjeder!$C$45:$C$52</c:f>
              <c:numCache>
                <c:formatCode>0</c:formatCode>
                <c:ptCount val="8"/>
                <c:pt idx="0">
                  <c:v>0</c:v>
                </c:pt>
                <c:pt idx="1">
                  <c:v>0</c:v>
                </c:pt>
                <c:pt idx="2">
                  <c:v>0</c:v>
                </c:pt>
                <c:pt idx="3">
                  <c:v>0</c:v>
                </c:pt>
                <c:pt idx="4">
                  <c:v>0</c:v>
                </c:pt>
                <c:pt idx="5">
                  <c:v>0</c:v>
                </c:pt>
                <c:pt idx="6">
                  <c:v>0</c:v>
                </c:pt>
                <c:pt idx="7">
                  <c:v>0</c:v>
                </c:pt>
              </c:numCache>
            </c:numRef>
          </c:val>
        </c:ser>
        <c:ser>
          <c:idx val="2"/>
          <c:order val="2"/>
          <c:tx>
            <c:strRef>
              <c:f>Forsyningskjeder!$D$44</c:f>
              <c:strCache>
                <c:ptCount val="1"/>
                <c:pt idx="0">
                  <c:v>Terrengtransport</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Forsyningskjeder!$D$45:$D$52</c:f>
              <c:numCache>
                <c:formatCode>0</c:formatCode>
                <c:ptCount val="8"/>
                <c:pt idx="0">
                  <c:v>4.0413613816077412</c:v>
                </c:pt>
                <c:pt idx="1">
                  <c:v>4.2099635440735206</c:v>
                </c:pt>
                <c:pt idx="2">
                  <c:v>4.0413613816077412</c:v>
                </c:pt>
                <c:pt idx="3">
                  <c:v>4.0413613816077412</c:v>
                </c:pt>
                <c:pt idx="4">
                  <c:v>0</c:v>
                </c:pt>
                <c:pt idx="5">
                  <c:v>0</c:v>
                </c:pt>
                <c:pt idx="6">
                  <c:v>0</c:v>
                </c:pt>
                <c:pt idx="7">
                  <c:v>0</c:v>
                </c:pt>
              </c:numCache>
            </c:numRef>
          </c:val>
        </c:ser>
        <c:ser>
          <c:idx val="3"/>
          <c:order val="3"/>
          <c:tx>
            <c:strRef>
              <c:f>Forsyningskjeder!$E$44</c:f>
              <c:strCache>
                <c:ptCount val="1"/>
                <c:pt idx="0">
                  <c:v>Flishogging lunneplass</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Forsyningskjeder!$E$45:$E$52</c:f>
              <c:numCache>
                <c:formatCode>0</c:formatCode>
                <c:ptCount val="8"/>
                <c:pt idx="0">
                  <c:v>6.659688341803597</c:v>
                </c:pt>
                <c:pt idx="1">
                  <c:v>0</c:v>
                </c:pt>
                <c:pt idx="2">
                  <c:v>3.8871178474980512</c:v>
                </c:pt>
                <c:pt idx="3">
                  <c:v>5.1940676876066281</c:v>
                </c:pt>
                <c:pt idx="4">
                  <c:v>0</c:v>
                </c:pt>
                <c:pt idx="5">
                  <c:v>0</c:v>
                </c:pt>
                <c:pt idx="6">
                  <c:v>0</c:v>
                </c:pt>
                <c:pt idx="7">
                  <c:v>0</c:v>
                </c:pt>
              </c:numCache>
            </c:numRef>
          </c:val>
        </c:ser>
        <c:ser>
          <c:idx val="4"/>
          <c:order val="4"/>
          <c:tx>
            <c:strRef>
              <c:f>Forsyningskjeder!$F$44</c:f>
              <c:strCache>
                <c:ptCount val="1"/>
                <c:pt idx="0">
                  <c:v>Vegtrans1</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Forsyningskjeder!$F$45:$F$52</c:f>
              <c:numCache>
                <c:formatCode>0</c:formatCode>
                <c:ptCount val="8"/>
                <c:pt idx="0">
                  <c:v>4.6730687822844192</c:v>
                </c:pt>
                <c:pt idx="1">
                  <c:v>8.7808645308855322</c:v>
                </c:pt>
                <c:pt idx="2">
                  <c:v>4.6730687822844192</c:v>
                </c:pt>
                <c:pt idx="3">
                  <c:v>4.8057004436162707</c:v>
                </c:pt>
                <c:pt idx="4">
                  <c:v>0</c:v>
                </c:pt>
                <c:pt idx="5">
                  <c:v>0</c:v>
                </c:pt>
                <c:pt idx="6">
                  <c:v>0</c:v>
                </c:pt>
                <c:pt idx="7">
                  <c:v>0</c:v>
                </c:pt>
              </c:numCache>
            </c:numRef>
          </c:val>
        </c:ser>
        <c:ser>
          <c:idx val="5"/>
          <c:order val="5"/>
          <c:tx>
            <c:strRef>
              <c:f>Forsyningskjeder!$G$44</c:f>
              <c:strCache>
                <c:ptCount val="1"/>
                <c:pt idx="0">
                  <c:v>Flishogging terminal</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Forsyningskjeder!$G$45:$G$52</c:f>
              <c:numCache>
                <c:formatCode>0.0</c:formatCode>
                <c:ptCount val="8"/>
                <c:pt idx="0">
                  <c:v>0</c:v>
                </c:pt>
                <c:pt idx="1">
                  <c:v>2.4941249929061815</c:v>
                </c:pt>
                <c:pt idx="2">
                  <c:v>0</c:v>
                </c:pt>
                <c:pt idx="3">
                  <c:v>0</c:v>
                </c:pt>
                <c:pt idx="4">
                  <c:v>0</c:v>
                </c:pt>
                <c:pt idx="5">
                  <c:v>0</c:v>
                </c:pt>
                <c:pt idx="6">
                  <c:v>0</c:v>
                </c:pt>
                <c:pt idx="7">
                  <c:v>0</c:v>
                </c:pt>
              </c:numCache>
            </c:numRef>
          </c:val>
        </c:ser>
        <c:ser>
          <c:idx val="6"/>
          <c:order val="6"/>
          <c:tx>
            <c:strRef>
              <c:f>Forsyningskjeder!$H$44</c:f>
              <c:strCache>
                <c:ptCount val="1"/>
                <c:pt idx="0">
                  <c:v>Vegtrans2</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Forsyningskjeder!$H$45:$H$52</c:f>
              <c:numCache>
                <c:formatCode>0</c:formatCode>
                <c:ptCount val="8"/>
                <c:pt idx="0">
                  <c:v>1.8346668805784341</c:v>
                </c:pt>
                <c:pt idx="1">
                  <c:v>1.8346668805784341</c:v>
                </c:pt>
                <c:pt idx="2">
                  <c:v>1.8346668805784341</c:v>
                </c:pt>
                <c:pt idx="3">
                  <c:v>0</c:v>
                </c:pt>
                <c:pt idx="4">
                  <c:v>0</c:v>
                </c:pt>
                <c:pt idx="5">
                  <c:v>0</c:v>
                </c:pt>
                <c:pt idx="6">
                  <c:v>0</c:v>
                </c:pt>
                <c:pt idx="7">
                  <c:v>0</c:v>
                </c:pt>
              </c:numCache>
            </c:numRef>
          </c:val>
        </c:ser>
        <c:ser>
          <c:idx val="7"/>
          <c:order val="7"/>
          <c:tx>
            <c:strRef>
              <c:f>Forsyningskjeder!$I$44</c:f>
              <c:strCache>
                <c:ptCount val="1"/>
                <c:pt idx="0">
                  <c:v>Lagerkostnader</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Forsyningskjeder!$I$45:$I$52</c:f>
              <c:numCache>
                <c:formatCode>0</c:formatCode>
                <c:ptCount val="8"/>
                <c:pt idx="0">
                  <c:v>0.84519340741160376</c:v>
                </c:pt>
                <c:pt idx="1">
                  <c:v>1.2603940058877583</c:v>
                </c:pt>
                <c:pt idx="2">
                  <c:v>0.84519340741160376</c:v>
                </c:pt>
                <c:pt idx="3">
                  <c:v>0.36757418914378248</c:v>
                </c:pt>
                <c:pt idx="4">
                  <c:v>0</c:v>
                </c:pt>
                <c:pt idx="5">
                  <c:v>0</c:v>
                </c:pt>
                <c:pt idx="6">
                  <c:v>0</c:v>
                </c:pt>
                <c:pt idx="7">
                  <c:v>0</c:v>
                </c:pt>
              </c:numCache>
            </c:numRef>
          </c:val>
        </c:ser>
        <c:dLbls>
          <c:showLegendKey val="0"/>
          <c:showVal val="0"/>
          <c:showCatName val="0"/>
          <c:showSerName val="0"/>
          <c:showPercent val="0"/>
          <c:showBubbleSize val="0"/>
        </c:dLbls>
        <c:gapWidth val="76"/>
        <c:overlap val="100"/>
        <c:axId val="55983488"/>
        <c:axId val="55985280"/>
      </c:barChart>
      <c:catAx>
        <c:axId val="55983488"/>
        <c:scaling>
          <c:orientation val="minMax"/>
        </c:scaling>
        <c:delete val="0"/>
        <c:axPos val="b"/>
        <c:majorTickMark val="out"/>
        <c:minorTickMark val="none"/>
        <c:tickLblPos val="nextTo"/>
        <c:crossAx val="55985280"/>
        <c:crosses val="autoZero"/>
        <c:auto val="1"/>
        <c:lblAlgn val="ctr"/>
        <c:lblOffset val="100"/>
        <c:noMultiLvlLbl val="0"/>
      </c:catAx>
      <c:valAx>
        <c:axId val="55985280"/>
        <c:scaling>
          <c:orientation val="minMax"/>
        </c:scaling>
        <c:delete val="0"/>
        <c:axPos val="l"/>
        <c:majorGridlines/>
        <c:title>
          <c:tx>
            <c:rich>
              <a:bodyPr rot="-5400000" vert="horz"/>
              <a:lstStyle/>
              <a:p>
                <a:pPr>
                  <a:defRPr/>
                </a:pPr>
                <a:r>
                  <a:rPr lang="en-US"/>
                  <a:t>Øre per kWh</a:t>
                </a:r>
              </a:p>
            </c:rich>
          </c:tx>
          <c:overlay val="0"/>
        </c:title>
        <c:numFmt formatCode="0" sourceLinked="1"/>
        <c:majorTickMark val="out"/>
        <c:minorTickMark val="none"/>
        <c:tickLblPos val="nextTo"/>
        <c:crossAx val="559834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Forsyningskjeder!$B$19</c:f>
              <c:strCache>
                <c:ptCount val="1"/>
                <c:pt idx="0">
                  <c:v>Hogst</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Forsyningskjeder!$B$20:$B$27</c:f>
              <c:numCache>
                <c:formatCode>0</c:formatCode>
                <c:ptCount val="8"/>
                <c:pt idx="0">
                  <c:v>118.68610563367044</c:v>
                </c:pt>
                <c:pt idx="1">
                  <c:v>137.88012296808418</c:v>
                </c:pt>
                <c:pt idx="2">
                  <c:v>137.88012296808418</c:v>
                </c:pt>
                <c:pt idx="3">
                  <c:v>137.88012296808418</c:v>
                </c:pt>
                <c:pt idx="4">
                  <c:v>0</c:v>
                </c:pt>
                <c:pt idx="5">
                  <c:v>0</c:v>
                </c:pt>
                <c:pt idx="6">
                  <c:v>0</c:v>
                </c:pt>
                <c:pt idx="7">
                  <c:v>0</c:v>
                </c:pt>
              </c:numCache>
            </c:numRef>
          </c:val>
        </c:ser>
        <c:ser>
          <c:idx val="1"/>
          <c:order val="1"/>
          <c:tx>
            <c:strRef>
              <c:f>Forsyningskjeder!$C$19</c:f>
              <c:strCache>
                <c:ptCount val="1"/>
                <c:pt idx="0">
                  <c:v>Bunting</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Forsyningskjeder!$C$20:$C$27</c:f>
              <c:numCache>
                <c:formatCode>0</c:formatCode>
                <c:ptCount val="8"/>
                <c:pt idx="0">
                  <c:v>0</c:v>
                </c:pt>
                <c:pt idx="1">
                  <c:v>0</c:v>
                </c:pt>
                <c:pt idx="2">
                  <c:v>0</c:v>
                </c:pt>
                <c:pt idx="3">
                  <c:v>0</c:v>
                </c:pt>
                <c:pt idx="4">
                  <c:v>0</c:v>
                </c:pt>
                <c:pt idx="5">
                  <c:v>0</c:v>
                </c:pt>
                <c:pt idx="6">
                  <c:v>0</c:v>
                </c:pt>
                <c:pt idx="7">
                  <c:v>0</c:v>
                </c:pt>
              </c:numCache>
            </c:numRef>
          </c:val>
        </c:ser>
        <c:ser>
          <c:idx val="2"/>
          <c:order val="2"/>
          <c:tx>
            <c:strRef>
              <c:f>Forsyningskjeder!$D$19</c:f>
              <c:strCache>
                <c:ptCount val="1"/>
                <c:pt idx="0">
                  <c:v>Terrengtransport</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Forsyningskjeder!$D$20:$D$27</c:f>
              <c:numCache>
                <c:formatCode>0</c:formatCode>
                <c:ptCount val="8"/>
                <c:pt idx="0">
                  <c:v>79.583731822429371</c:v>
                </c:pt>
                <c:pt idx="1">
                  <c:v>82.903897483293946</c:v>
                </c:pt>
                <c:pt idx="2">
                  <c:v>79.583731822429371</c:v>
                </c:pt>
                <c:pt idx="3">
                  <c:v>79.583731822429371</c:v>
                </c:pt>
                <c:pt idx="4">
                  <c:v>0</c:v>
                </c:pt>
                <c:pt idx="5">
                  <c:v>0</c:v>
                </c:pt>
                <c:pt idx="6">
                  <c:v>0</c:v>
                </c:pt>
                <c:pt idx="7">
                  <c:v>0</c:v>
                </c:pt>
              </c:numCache>
            </c:numRef>
          </c:val>
        </c:ser>
        <c:ser>
          <c:idx val="3"/>
          <c:order val="3"/>
          <c:tx>
            <c:strRef>
              <c:f>Forsyningskjeder!$E$19</c:f>
              <c:strCache>
                <c:ptCount val="1"/>
                <c:pt idx="0">
                  <c:v>Flishogging lunneplass</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Forsyningskjeder!$E$20:$E$27</c:f>
              <c:numCache>
                <c:formatCode>0</c:formatCode>
                <c:ptCount val="8"/>
                <c:pt idx="0">
                  <c:v>131.14463196167085</c:v>
                </c:pt>
                <c:pt idx="1">
                  <c:v>0</c:v>
                </c:pt>
                <c:pt idx="2">
                  <c:v>76.546320689192399</c:v>
                </c:pt>
                <c:pt idx="3">
                  <c:v>102.28317907902284</c:v>
                </c:pt>
                <c:pt idx="4">
                  <c:v>0</c:v>
                </c:pt>
                <c:pt idx="5">
                  <c:v>0</c:v>
                </c:pt>
                <c:pt idx="6">
                  <c:v>0</c:v>
                </c:pt>
                <c:pt idx="7">
                  <c:v>0</c:v>
                </c:pt>
              </c:numCache>
            </c:numRef>
          </c:val>
        </c:ser>
        <c:ser>
          <c:idx val="4"/>
          <c:order val="4"/>
          <c:tx>
            <c:strRef>
              <c:f>Forsyningskjeder!$F$19</c:f>
              <c:strCache>
                <c:ptCount val="1"/>
                <c:pt idx="0">
                  <c:v>Vegtrans1</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Forsyningskjeder!$F$20:$F$27</c:f>
              <c:numCache>
                <c:formatCode>0</c:formatCode>
                <c:ptCount val="8"/>
                <c:pt idx="0">
                  <c:v>92.02350832806242</c:v>
                </c:pt>
                <c:pt idx="1">
                  <c:v>172.91548614666894</c:v>
                </c:pt>
                <c:pt idx="2">
                  <c:v>92.02350832806242</c:v>
                </c:pt>
                <c:pt idx="3">
                  <c:v>94.635331812751176</c:v>
                </c:pt>
                <c:pt idx="4">
                  <c:v>0</c:v>
                </c:pt>
                <c:pt idx="5">
                  <c:v>0</c:v>
                </c:pt>
                <c:pt idx="6">
                  <c:v>0</c:v>
                </c:pt>
                <c:pt idx="7">
                  <c:v>0</c:v>
                </c:pt>
              </c:numCache>
            </c:numRef>
          </c:val>
        </c:ser>
        <c:ser>
          <c:idx val="5"/>
          <c:order val="5"/>
          <c:tx>
            <c:strRef>
              <c:f>Forsyningskjeder!$G$19</c:f>
              <c:strCache>
                <c:ptCount val="1"/>
                <c:pt idx="0">
                  <c:v>Flishogging terminal</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Forsyningskjeder!$G$20:$G$27</c:f>
              <c:numCache>
                <c:formatCode>0</c:formatCode>
                <c:ptCount val="8"/>
                <c:pt idx="0">
                  <c:v>0</c:v>
                </c:pt>
                <c:pt idx="1">
                  <c:v>49.115076783383266</c:v>
                </c:pt>
                <c:pt idx="2">
                  <c:v>0</c:v>
                </c:pt>
                <c:pt idx="3">
                  <c:v>0</c:v>
                </c:pt>
                <c:pt idx="4">
                  <c:v>0</c:v>
                </c:pt>
                <c:pt idx="5">
                  <c:v>0</c:v>
                </c:pt>
                <c:pt idx="6">
                  <c:v>0</c:v>
                </c:pt>
                <c:pt idx="7">
                  <c:v>0</c:v>
                </c:pt>
              </c:numCache>
            </c:numRef>
          </c:val>
        </c:ser>
        <c:ser>
          <c:idx val="6"/>
          <c:order val="6"/>
          <c:tx>
            <c:strRef>
              <c:f>Forsyningskjeder!$H$19</c:f>
              <c:strCache>
                <c:ptCount val="1"/>
                <c:pt idx="0">
                  <c:v>Vegtrans2</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Forsyningskjeder!$H$20:$H$27</c:f>
              <c:numCache>
                <c:formatCode>0</c:formatCode>
                <c:ptCount val="8"/>
                <c:pt idx="0">
                  <c:v>36.128824725236854</c:v>
                </c:pt>
                <c:pt idx="1">
                  <c:v>36.128824725236854</c:v>
                </c:pt>
                <c:pt idx="2">
                  <c:v>36.128824725236854</c:v>
                </c:pt>
                <c:pt idx="3">
                  <c:v>0</c:v>
                </c:pt>
                <c:pt idx="4">
                  <c:v>0</c:v>
                </c:pt>
                <c:pt idx="5">
                  <c:v>0</c:v>
                </c:pt>
                <c:pt idx="6">
                  <c:v>0</c:v>
                </c:pt>
                <c:pt idx="7">
                  <c:v>0</c:v>
                </c:pt>
              </c:numCache>
            </c:numRef>
          </c:val>
        </c:ser>
        <c:ser>
          <c:idx val="7"/>
          <c:order val="7"/>
          <c:tx>
            <c:strRef>
              <c:f>Forsyningskjeder!$I$19</c:f>
              <c:strCache>
                <c:ptCount val="1"/>
                <c:pt idx="0">
                  <c:v>Lagerkostnader</c:v>
                </c:pt>
              </c:strCache>
            </c:strRef>
          </c:tx>
          <c:invertIfNegative val="0"/>
          <c:cat>
            <c:strRef>
              <c:f>Forsyningskjeder!$A$20:$A$27</c:f>
              <c:strCache>
                <c:ptCount val="4"/>
                <c:pt idx="0">
                  <c:v>Terrengflishugger</c:v>
                </c:pt>
                <c:pt idx="1">
                  <c:v>Terminalhogger</c:v>
                </c:pt>
                <c:pt idx="2">
                  <c:v>Flis fra vegkant 1</c:v>
                </c:pt>
                <c:pt idx="3">
                  <c:v>Flis fra vegkant 2</c:v>
                </c:pt>
              </c:strCache>
            </c:strRef>
          </c:cat>
          <c:val>
            <c:numRef>
              <c:f>Forsyningskjeder!$I$20:$I$27</c:f>
              <c:numCache>
                <c:formatCode>0</c:formatCode>
                <c:ptCount val="8"/>
                <c:pt idx="0">
                  <c:v>16.643808638259273</c:v>
                </c:pt>
                <c:pt idx="1">
                  <c:v>24.820066577482013</c:v>
                </c:pt>
                <c:pt idx="2">
                  <c:v>16.643808638259273</c:v>
                </c:pt>
                <c:pt idx="3">
                  <c:v>7.2383840323698703</c:v>
                </c:pt>
                <c:pt idx="4">
                  <c:v>0</c:v>
                </c:pt>
                <c:pt idx="5">
                  <c:v>0</c:v>
                </c:pt>
                <c:pt idx="6">
                  <c:v>0</c:v>
                </c:pt>
                <c:pt idx="7">
                  <c:v>0</c:v>
                </c:pt>
              </c:numCache>
            </c:numRef>
          </c:val>
        </c:ser>
        <c:dLbls>
          <c:showLegendKey val="0"/>
          <c:showVal val="0"/>
          <c:showCatName val="0"/>
          <c:showSerName val="0"/>
          <c:showPercent val="0"/>
          <c:showBubbleSize val="0"/>
        </c:dLbls>
        <c:gapWidth val="65"/>
        <c:overlap val="100"/>
        <c:axId val="56099968"/>
        <c:axId val="56101504"/>
      </c:barChart>
      <c:catAx>
        <c:axId val="56099968"/>
        <c:scaling>
          <c:orientation val="minMax"/>
        </c:scaling>
        <c:delete val="0"/>
        <c:axPos val="b"/>
        <c:majorTickMark val="out"/>
        <c:minorTickMark val="none"/>
        <c:tickLblPos val="nextTo"/>
        <c:crossAx val="56101504"/>
        <c:crosses val="autoZero"/>
        <c:auto val="1"/>
        <c:lblAlgn val="ctr"/>
        <c:lblOffset val="100"/>
        <c:noMultiLvlLbl val="0"/>
      </c:catAx>
      <c:valAx>
        <c:axId val="56101504"/>
        <c:scaling>
          <c:orientation val="minMax"/>
        </c:scaling>
        <c:delete val="0"/>
        <c:axPos val="l"/>
        <c:majorGridlines/>
        <c:title>
          <c:tx>
            <c:rich>
              <a:bodyPr rot="-5400000" vert="horz"/>
              <a:lstStyle/>
              <a:p>
                <a:pPr>
                  <a:defRPr/>
                </a:pPr>
                <a:r>
                  <a:rPr lang="en-US"/>
                  <a:t>kr per fm</a:t>
                </a:r>
                <a:r>
                  <a:rPr lang="en-US" baseline="30000"/>
                  <a:t>3</a:t>
                </a:r>
              </a:p>
            </c:rich>
          </c:tx>
          <c:layout/>
          <c:overlay val="0"/>
        </c:title>
        <c:numFmt formatCode="0" sourceLinked="1"/>
        <c:majorTickMark val="out"/>
        <c:minorTickMark val="none"/>
        <c:tickLblPos val="nextTo"/>
        <c:crossAx val="560999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Forsyningskjeder!$B$44</c:f>
              <c:strCache>
                <c:ptCount val="1"/>
                <c:pt idx="0">
                  <c:v>Hogst</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Forsyningskjeder!$B$45:$B$52</c:f>
              <c:numCache>
                <c:formatCode>0</c:formatCode>
                <c:ptCount val="8"/>
                <c:pt idx="0">
                  <c:v>6.0270288017098261</c:v>
                </c:pt>
                <c:pt idx="1">
                  <c:v>7.0017249944730242</c:v>
                </c:pt>
                <c:pt idx="2">
                  <c:v>7.0017249944730242</c:v>
                </c:pt>
                <c:pt idx="3">
                  <c:v>7.0017249944730242</c:v>
                </c:pt>
                <c:pt idx="4">
                  <c:v>0</c:v>
                </c:pt>
                <c:pt idx="5">
                  <c:v>0</c:v>
                </c:pt>
                <c:pt idx="6">
                  <c:v>0</c:v>
                </c:pt>
                <c:pt idx="7">
                  <c:v>0</c:v>
                </c:pt>
              </c:numCache>
            </c:numRef>
          </c:val>
        </c:ser>
        <c:ser>
          <c:idx val="1"/>
          <c:order val="1"/>
          <c:tx>
            <c:strRef>
              <c:f>Forsyningskjeder!$C$44</c:f>
              <c:strCache>
                <c:ptCount val="1"/>
                <c:pt idx="0">
                  <c:v>Bunting</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Forsyningskjeder!$C$45:$C$52</c:f>
              <c:numCache>
                <c:formatCode>0</c:formatCode>
                <c:ptCount val="8"/>
                <c:pt idx="0">
                  <c:v>0</c:v>
                </c:pt>
                <c:pt idx="1">
                  <c:v>0</c:v>
                </c:pt>
                <c:pt idx="2">
                  <c:v>0</c:v>
                </c:pt>
                <c:pt idx="3">
                  <c:v>0</c:v>
                </c:pt>
                <c:pt idx="4">
                  <c:v>0</c:v>
                </c:pt>
                <c:pt idx="5">
                  <c:v>0</c:v>
                </c:pt>
                <c:pt idx="6">
                  <c:v>0</c:v>
                </c:pt>
                <c:pt idx="7">
                  <c:v>0</c:v>
                </c:pt>
              </c:numCache>
            </c:numRef>
          </c:val>
        </c:ser>
        <c:ser>
          <c:idx val="2"/>
          <c:order val="2"/>
          <c:tx>
            <c:strRef>
              <c:f>Forsyningskjeder!$D$44</c:f>
              <c:strCache>
                <c:ptCount val="1"/>
                <c:pt idx="0">
                  <c:v>Terrengtransport</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Forsyningskjeder!$D$45:$D$52</c:f>
              <c:numCache>
                <c:formatCode>0</c:formatCode>
                <c:ptCount val="8"/>
                <c:pt idx="0">
                  <c:v>4.0413613816077412</c:v>
                </c:pt>
                <c:pt idx="1">
                  <c:v>4.2099635440735206</c:v>
                </c:pt>
                <c:pt idx="2">
                  <c:v>4.0413613816077412</c:v>
                </c:pt>
                <c:pt idx="3">
                  <c:v>4.0413613816077412</c:v>
                </c:pt>
                <c:pt idx="4">
                  <c:v>0</c:v>
                </c:pt>
                <c:pt idx="5">
                  <c:v>0</c:v>
                </c:pt>
                <c:pt idx="6">
                  <c:v>0</c:v>
                </c:pt>
                <c:pt idx="7">
                  <c:v>0</c:v>
                </c:pt>
              </c:numCache>
            </c:numRef>
          </c:val>
        </c:ser>
        <c:ser>
          <c:idx val="3"/>
          <c:order val="3"/>
          <c:tx>
            <c:strRef>
              <c:f>Forsyningskjeder!$E$44</c:f>
              <c:strCache>
                <c:ptCount val="1"/>
                <c:pt idx="0">
                  <c:v>Flishogging lunneplass</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Forsyningskjeder!$E$45:$E$52</c:f>
              <c:numCache>
                <c:formatCode>0</c:formatCode>
                <c:ptCount val="8"/>
                <c:pt idx="0">
                  <c:v>6.659688341803597</c:v>
                </c:pt>
                <c:pt idx="1">
                  <c:v>0</c:v>
                </c:pt>
                <c:pt idx="2">
                  <c:v>3.8871178474980512</c:v>
                </c:pt>
                <c:pt idx="3">
                  <c:v>5.1940676876066281</c:v>
                </c:pt>
                <c:pt idx="4">
                  <c:v>0</c:v>
                </c:pt>
                <c:pt idx="5">
                  <c:v>0</c:v>
                </c:pt>
                <c:pt idx="6">
                  <c:v>0</c:v>
                </c:pt>
                <c:pt idx="7">
                  <c:v>0</c:v>
                </c:pt>
              </c:numCache>
            </c:numRef>
          </c:val>
        </c:ser>
        <c:ser>
          <c:idx val="4"/>
          <c:order val="4"/>
          <c:tx>
            <c:strRef>
              <c:f>Forsyningskjeder!$F$44</c:f>
              <c:strCache>
                <c:ptCount val="1"/>
                <c:pt idx="0">
                  <c:v>Vegtrans1</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Forsyningskjeder!$F$45:$F$52</c:f>
              <c:numCache>
                <c:formatCode>0</c:formatCode>
                <c:ptCount val="8"/>
                <c:pt idx="0">
                  <c:v>4.6730687822844192</c:v>
                </c:pt>
                <c:pt idx="1">
                  <c:v>8.7808645308855322</c:v>
                </c:pt>
                <c:pt idx="2">
                  <c:v>4.6730687822844192</c:v>
                </c:pt>
                <c:pt idx="3">
                  <c:v>4.8057004436162707</c:v>
                </c:pt>
                <c:pt idx="4">
                  <c:v>0</c:v>
                </c:pt>
                <c:pt idx="5">
                  <c:v>0</c:v>
                </c:pt>
                <c:pt idx="6">
                  <c:v>0</c:v>
                </c:pt>
                <c:pt idx="7">
                  <c:v>0</c:v>
                </c:pt>
              </c:numCache>
            </c:numRef>
          </c:val>
        </c:ser>
        <c:ser>
          <c:idx val="5"/>
          <c:order val="5"/>
          <c:tx>
            <c:strRef>
              <c:f>Forsyningskjeder!$G$44</c:f>
              <c:strCache>
                <c:ptCount val="1"/>
                <c:pt idx="0">
                  <c:v>Flishogging terminal</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Forsyningskjeder!$G$45:$G$52</c:f>
              <c:numCache>
                <c:formatCode>0.0</c:formatCode>
                <c:ptCount val="8"/>
                <c:pt idx="0">
                  <c:v>0</c:v>
                </c:pt>
                <c:pt idx="1">
                  <c:v>2.4941249929061815</c:v>
                </c:pt>
                <c:pt idx="2">
                  <c:v>0</c:v>
                </c:pt>
                <c:pt idx="3">
                  <c:v>0</c:v>
                </c:pt>
                <c:pt idx="4">
                  <c:v>0</c:v>
                </c:pt>
                <c:pt idx="5">
                  <c:v>0</c:v>
                </c:pt>
                <c:pt idx="6">
                  <c:v>0</c:v>
                </c:pt>
                <c:pt idx="7">
                  <c:v>0</c:v>
                </c:pt>
              </c:numCache>
            </c:numRef>
          </c:val>
        </c:ser>
        <c:ser>
          <c:idx val="6"/>
          <c:order val="6"/>
          <c:tx>
            <c:strRef>
              <c:f>Forsyningskjeder!$H$44</c:f>
              <c:strCache>
                <c:ptCount val="1"/>
                <c:pt idx="0">
                  <c:v>Vegtrans2</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Forsyningskjeder!$H$45:$H$52</c:f>
              <c:numCache>
                <c:formatCode>0</c:formatCode>
                <c:ptCount val="8"/>
                <c:pt idx="0">
                  <c:v>1.8346668805784341</c:v>
                </c:pt>
                <c:pt idx="1">
                  <c:v>1.8346668805784341</c:v>
                </c:pt>
                <c:pt idx="2">
                  <c:v>1.8346668805784341</c:v>
                </c:pt>
                <c:pt idx="3">
                  <c:v>0</c:v>
                </c:pt>
                <c:pt idx="4">
                  <c:v>0</c:v>
                </c:pt>
                <c:pt idx="5">
                  <c:v>0</c:v>
                </c:pt>
                <c:pt idx="6">
                  <c:v>0</c:v>
                </c:pt>
                <c:pt idx="7">
                  <c:v>0</c:v>
                </c:pt>
              </c:numCache>
            </c:numRef>
          </c:val>
        </c:ser>
        <c:ser>
          <c:idx val="7"/>
          <c:order val="7"/>
          <c:tx>
            <c:strRef>
              <c:f>Forsyningskjeder!$I$44</c:f>
              <c:strCache>
                <c:ptCount val="1"/>
                <c:pt idx="0">
                  <c:v>Lagerkostnader</c:v>
                </c:pt>
              </c:strCache>
            </c:strRef>
          </c:tx>
          <c:invertIfNegative val="0"/>
          <c:cat>
            <c:strRef>
              <c:f>Forsyningskjeder!$A$45:$A$52</c:f>
              <c:strCache>
                <c:ptCount val="8"/>
                <c:pt idx="0">
                  <c:v>Terrengflishugger</c:v>
                </c:pt>
                <c:pt idx="1">
                  <c:v>Terminalhogger</c:v>
                </c:pt>
                <c:pt idx="2">
                  <c:v>Flis fra vegkant 1</c:v>
                </c:pt>
                <c:pt idx="3">
                  <c:v>Flis fra vegkant 2</c:v>
                </c:pt>
                <c:pt idx="4">
                  <c:v>0</c:v>
                </c:pt>
                <c:pt idx="5">
                  <c:v>0</c:v>
                </c:pt>
                <c:pt idx="6">
                  <c:v>0</c:v>
                </c:pt>
                <c:pt idx="7">
                  <c:v>0</c:v>
                </c:pt>
              </c:strCache>
            </c:strRef>
          </c:cat>
          <c:val>
            <c:numRef>
              <c:f>Forsyningskjeder!$I$45:$I$52</c:f>
              <c:numCache>
                <c:formatCode>0</c:formatCode>
                <c:ptCount val="8"/>
                <c:pt idx="0">
                  <c:v>0.84519340741160376</c:v>
                </c:pt>
                <c:pt idx="1">
                  <c:v>1.2603940058877583</c:v>
                </c:pt>
                <c:pt idx="2">
                  <c:v>0.84519340741160376</c:v>
                </c:pt>
                <c:pt idx="3">
                  <c:v>0.36757418914378248</c:v>
                </c:pt>
                <c:pt idx="4">
                  <c:v>0</c:v>
                </c:pt>
                <c:pt idx="5">
                  <c:v>0</c:v>
                </c:pt>
                <c:pt idx="6">
                  <c:v>0</c:v>
                </c:pt>
                <c:pt idx="7">
                  <c:v>0</c:v>
                </c:pt>
              </c:numCache>
            </c:numRef>
          </c:val>
        </c:ser>
        <c:dLbls>
          <c:showLegendKey val="0"/>
          <c:showVal val="0"/>
          <c:showCatName val="0"/>
          <c:showSerName val="0"/>
          <c:showPercent val="0"/>
          <c:showBubbleSize val="0"/>
        </c:dLbls>
        <c:gapWidth val="76"/>
        <c:overlap val="100"/>
        <c:axId val="56513280"/>
        <c:axId val="56514816"/>
      </c:barChart>
      <c:catAx>
        <c:axId val="56513280"/>
        <c:scaling>
          <c:orientation val="minMax"/>
        </c:scaling>
        <c:delete val="0"/>
        <c:axPos val="b"/>
        <c:majorTickMark val="out"/>
        <c:minorTickMark val="none"/>
        <c:tickLblPos val="nextTo"/>
        <c:crossAx val="56514816"/>
        <c:crosses val="autoZero"/>
        <c:auto val="1"/>
        <c:lblAlgn val="ctr"/>
        <c:lblOffset val="100"/>
        <c:noMultiLvlLbl val="0"/>
      </c:catAx>
      <c:valAx>
        <c:axId val="56514816"/>
        <c:scaling>
          <c:orientation val="minMax"/>
        </c:scaling>
        <c:delete val="0"/>
        <c:axPos val="l"/>
        <c:majorGridlines/>
        <c:title>
          <c:tx>
            <c:rich>
              <a:bodyPr rot="-5400000" vert="horz"/>
              <a:lstStyle/>
              <a:p>
                <a:pPr>
                  <a:defRPr/>
                </a:pPr>
                <a:r>
                  <a:rPr lang="en-US"/>
                  <a:t>Øre per kWh</a:t>
                </a:r>
              </a:p>
            </c:rich>
          </c:tx>
          <c:layout/>
          <c:overlay val="0"/>
        </c:title>
        <c:numFmt formatCode="0" sourceLinked="1"/>
        <c:majorTickMark val="out"/>
        <c:minorTickMark val="none"/>
        <c:tickLblPos val="nextTo"/>
        <c:crossAx val="565132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'Ark2'!$B$9</c:f>
              <c:strCache>
                <c:ptCount val="1"/>
                <c:pt idx="0">
                  <c:v>Karha AFH m3 per time</c:v>
                </c:pt>
              </c:strCache>
            </c:strRef>
          </c:tx>
          <c:spPr>
            <a:ln w="28575">
              <a:noFill/>
            </a:ln>
          </c:spPr>
          <c:trendline>
            <c:trendlineType val="poly"/>
            <c:order val="3"/>
            <c:dispRSqr val="0"/>
            <c:dispEq val="1"/>
            <c:trendlineLbl>
              <c:layout>
                <c:manualLayout>
                  <c:x val="0.30722747156605423"/>
                  <c:y val="9.7829177602799647E-2"/>
                </c:manualLayout>
              </c:layout>
              <c:numFmt formatCode="#,##0.0000000" sourceLinked="0"/>
            </c:trendlineLbl>
          </c:trendline>
          <c:xVal>
            <c:numRef>
              <c:f>'Ark2'!$A$10:$A$19</c:f>
              <c:numCache>
                <c:formatCode>General</c:formatCode>
                <c:ptCount val="10"/>
                <c:pt idx="0">
                  <c:v>5</c:v>
                </c:pt>
                <c:pt idx="1">
                  <c:v>10</c:v>
                </c:pt>
                <c:pt idx="2">
                  <c:v>20</c:v>
                </c:pt>
                <c:pt idx="3">
                  <c:v>30</c:v>
                </c:pt>
                <c:pt idx="4">
                  <c:v>40</c:v>
                </c:pt>
                <c:pt idx="5">
                  <c:v>50</c:v>
                </c:pt>
                <c:pt idx="6">
                  <c:v>60</c:v>
                </c:pt>
                <c:pt idx="7">
                  <c:v>70</c:v>
                </c:pt>
                <c:pt idx="8">
                  <c:v>150</c:v>
                </c:pt>
                <c:pt idx="9">
                  <c:v>250</c:v>
                </c:pt>
              </c:numCache>
            </c:numRef>
          </c:xVal>
          <c:yVal>
            <c:numRef>
              <c:f>'Ark2'!$B$10:$B$19</c:f>
              <c:numCache>
                <c:formatCode>General</c:formatCode>
                <c:ptCount val="10"/>
                <c:pt idx="0">
                  <c:v>2.15</c:v>
                </c:pt>
                <c:pt idx="1">
                  <c:v>3.3</c:v>
                </c:pt>
                <c:pt idx="2">
                  <c:v>5.45</c:v>
                </c:pt>
                <c:pt idx="3">
                  <c:v>7.37</c:v>
                </c:pt>
                <c:pt idx="4">
                  <c:v>9.14</c:v>
                </c:pt>
                <c:pt idx="5">
                  <c:v>10.72</c:v>
                </c:pt>
                <c:pt idx="6">
                  <c:v>12.2</c:v>
                </c:pt>
                <c:pt idx="7">
                  <c:v>13.62</c:v>
                </c:pt>
                <c:pt idx="8">
                  <c:v>19</c:v>
                </c:pt>
                <c:pt idx="9">
                  <c:v>20</c:v>
                </c:pt>
              </c:numCache>
            </c:numRef>
          </c:yVal>
          <c:smooth val="0"/>
        </c:ser>
        <c:ser>
          <c:idx val="1"/>
          <c:order val="1"/>
          <c:tx>
            <c:strRef>
              <c:f>'Ark2'!$C$9</c:f>
              <c:strCache>
                <c:ptCount val="1"/>
                <c:pt idx="0">
                  <c:v>Karha AHH m3 per time</c:v>
                </c:pt>
              </c:strCache>
            </c:strRef>
          </c:tx>
          <c:spPr>
            <a:ln w="28575">
              <a:noFill/>
            </a:ln>
          </c:spPr>
          <c:trendline>
            <c:trendlineType val="poly"/>
            <c:order val="3"/>
            <c:dispRSqr val="0"/>
            <c:dispEq val="1"/>
            <c:trendlineLbl>
              <c:numFmt formatCode="#,##0.0000000" sourceLinked="0"/>
            </c:trendlineLbl>
          </c:trendline>
          <c:xVal>
            <c:numRef>
              <c:f>'Ark2'!$A$10:$A$19</c:f>
              <c:numCache>
                <c:formatCode>General</c:formatCode>
                <c:ptCount val="10"/>
                <c:pt idx="0">
                  <c:v>5</c:v>
                </c:pt>
                <c:pt idx="1">
                  <c:v>10</c:v>
                </c:pt>
                <c:pt idx="2">
                  <c:v>20</c:v>
                </c:pt>
                <c:pt idx="3">
                  <c:v>30</c:v>
                </c:pt>
                <c:pt idx="4">
                  <c:v>40</c:v>
                </c:pt>
                <c:pt idx="5">
                  <c:v>50</c:v>
                </c:pt>
                <c:pt idx="6">
                  <c:v>60</c:v>
                </c:pt>
                <c:pt idx="7">
                  <c:v>70</c:v>
                </c:pt>
                <c:pt idx="8">
                  <c:v>150</c:v>
                </c:pt>
                <c:pt idx="9">
                  <c:v>250</c:v>
                </c:pt>
              </c:numCache>
            </c:numRef>
          </c:xVal>
          <c:yVal>
            <c:numRef>
              <c:f>'Ark2'!$C$10:$C$19</c:f>
              <c:numCache>
                <c:formatCode>General</c:formatCode>
                <c:ptCount val="10"/>
                <c:pt idx="0">
                  <c:v>2.0499999999999998</c:v>
                </c:pt>
                <c:pt idx="1">
                  <c:v>3.52</c:v>
                </c:pt>
                <c:pt idx="2">
                  <c:v>6.05</c:v>
                </c:pt>
                <c:pt idx="3">
                  <c:v>8.35</c:v>
                </c:pt>
                <c:pt idx="4">
                  <c:v>10.47</c:v>
                </c:pt>
                <c:pt idx="5">
                  <c:v>12.33</c:v>
                </c:pt>
                <c:pt idx="6">
                  <c:v>14.08</c:v>
                </c:pt>
                <c:pt idx="7">
                  <c:v>15.7</c:v>
                </c:pt>
                <c:pt idx="8">
                  <c:v>24</c:v>
                </c:pt>
                <c:pt idx="9">
                  <c:v>26</c:v>
                </c:pt>
              </c:numCache>
            </c:numRef>
          </c:yVal>
          <c:smooth val="0"/>
        </c:ser>
        <c:dLbls>
          <c:showLegendKey val="0"/>
          <c:showVal val="0"/>
          <c:showCatName val="0"/>
          <c:showSerName val="0"/>
          <c:showPercent val="0"/>
          <c:showBubbleSize val="0"/>
        </c:dLbls>
        <c:axId val="57553664"/>
        <c:axId val="57555200"/>
      </c:scatterChart>
      <c:valAx>
        <c:axId val="57553664"/>
        <c:scaling>
          <c:orientation val="minMax"/>
        </c:scaling>
        <c:delete val="0"/>
        <c:axPos val="b"/>
        <c:numFmt formatCode="General" sourceLinked="1"/>
        <c:majorTickMark val="out"/>
        <c:minorTickMark val="none"/>
        <c:tickLblPos val="nextTo"/>
        <c:crossAx val="57555200"/>
        <c:crosses val="autoZero"/>
        <c:crossBetween val="midCat"/>
      </c:valAx>
      <c:valAx>
        <c:axId val="57555200"/>
        <c:scaling>
          <c:orientation val="minMax"/>
        </c:scaling>
        <c:delete val="0"/>
        <c:axPos val="l"/>
        <c:majorGridlines/>
        <c:numFmt formatCode="General" sourceLinked="1"/>
        <c:majorTickMark val="out"/>
        <c:minorTickMark val="none"/>
        <c:tickLblPos val="nextTo"/>
        <c:crossAx val="575536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'Ark2'!$D$9</c:f>
              <c:strCache>
                <c:ptCount val="1"/>
                <c:pt idx="0">
                  <c:v>AHH tre per time</c:v>
                </c:pt>
              </c:strCache>
            </c:strRef>
          </c:tx>
          <c:spPr>
            <a:ln w="28575">
              <a:noFill/>
            </a:ln>
          </c:spPr>
          <c:trendline>
            <c:trendlineType val="log"/>
            <c:dispRSqr val="0"/>
            <c:dispEq val="1"/>
            <c:trendlineLbl>
              <c:numFmt formatCode="General" sourceLinked="0"/>
            </c:trendlineLbl>
          </c:trendline>
          <c:xVal>
            <c:numRef>
              <c:f>'Ark2'!$A$10:$A$19</c:f>
              <c:numCache>
                <c:formatCode>General</c:formatCode>
                <c:ptCount val="10"/>
                <c:pt idx="0">
                  <c:v>5</c:v>
                </c:pt>
                <c:pt idx="1">
                  <c:v>10</c:v>
                </c:pt>
                <c:pt idx="2">
                  <c:v>20</c:v>
                </c:pt>
                <c:pt idx="3">
                  <c:v>30</c:v>
                </c:pt>
                <c:pt idx="4">
                  <c:v>40</c:v>
                </c:pt>
                <c:pt idx="5">
                  <c:v>50</c:v>
                </c:pt>
                <c:pt idx="6">
                  <c:v>60</c:v>
                </c:pt>
                <c:pt idx="7">
                  <c:v>70</c:v>
                </c:pt>
                <c:pt idx="8">
                  <c:v>150</c:v>
                </c:pt>
                <c:pt idx="9">
                  <c:v>250</c:v>
                </c:pt>
              </c:numCache>
            </c:numRef>
          </c:xVal>
          <c:yVal>
            <c:numRef>
              <c:f>'Ark2'!$D$10:$D$19</c:f>
              <c:numCache>
                <c:formatCode>0</c:formatCode>
                <c:ptCount val="10"/>
                <c:pt idx="0">
                  <c:v>410</c:v>
                </c:pt>
                <c:pt idx="1">
                  <c:v>352</c:v>
                </c:pt>
                <c:pt idx="2">
                  <c:v>302.5</c:v>
                </c:pt>
                <c:pt idx="3">
                  <c:v>278.33333333333331</c:v>
                </c:pt>
                <c:pt idx="4">
                  <c:v>261.75000000000006</c:v>
                </c:pt>
                <c:pt idx="5">
                  <c:v>246.60000000000002</c:v>
                </c:pt>
                <c:pt idx="6">
                  <c:v>234.66666666666666</c:v>
                </c:pt>
                <c:pt idx="7">
                  <c:v>224.28571428571428</c:v>
                </c:pt>
                <c:pt idx="8">
                  <c:v>160</c:v>
                </c:pt>
                <c:pt idx="9">
                  <c:v>104</c:v>
                </c:pt>
              </c:numCache>
            </c:numRef>
          </c:yVal>
          <c:smooth val="0"/>
        </c:ser>
        <c:dLbls>
          <c:showLegendKey val="0"/>
          <c:showVal val="0"/>
          <c:showCatName val="0"/>
          <c:showSerName val="0"/>
          <c:showPercent val="0"/>
          <c:showBubbleSize val="0"/>
        </c:dLbls>
        <c:axId val="57571968"/>
        <c:axId val="57581952"/>
      </c:scatterChart>
      <c:valAx>
        <c:axId val="57571968"/>
        <c:scaling>
          <c:orientation val="minMax"/>
        </c:scaling>
        <c:delete val="0"/>
        <c:axPos val="b"/>
        <c:numFmt formatCode="General" sourceLinked="1"/>
        <c:majorTickMark val="out"/>
        <c:minorTickMark val="none"/>
        <c:tickLblPos val="nextTo"/>
        <c:crossAx val="57581952"/>
        <c:crosses val="autoZero"/>
        <c:crossBetween val="midCat"/>
      </c:valAx>
      <c:valAx>
        <c:axId val="57581952"/>
        <c:scaling>
          <c:orientation val="minMax"/>
        </c:scaling>
        <c:delete val="0"/>
        <c:axPos val="l"/>
        <c:majorGridlines/>
        <c:numFmt formatCode="0" sourceLinked="1"/>
        <c:majorTickMark val="out"/>
        <c:minorTickMark val="none"/>
        <c:tickLblPos val="nextTo"/>
        <c:crossAx val="57571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37.emf"/><Relationship Id="rId18" Type="http://schemas.openxmlformats.org/officeDocument/2006/relationships/image" Target="../media/image32.emf"/><Relationship Id="rId26" Type="http://schemas.openxmlformats.org/officeDocument/2006/relationships/image" Target="../media/image24.emf"/><Relationship Id="rId39" Type="http://schemas.openxmlformats.org/officeDocument/2006/relationships/image" Target="../media/image54.emf"/><Relationship Id="rId21" Type="http://schemas.openxmlformats.org/officeDocument/2006/relationships/image" Target="../media/image29.emf"/><Relationship Id="rId34" Type="http://schemas.openxmlformats.org/officeDocument/2006/relationships/image" Target="../media/image16.emf"/><Relationship Id="rId42" Type="http://schemas.openxmlformats.org/officeDocument/2006/relationships/image" Target="../media/image15.emf"/><Relationship Id="rId47" Type="http://schemas.openxmlformats.org/officeDocument/2006/relationships/image" Target="../media/image10.emf"/><Relationship Id="rId50" Type="http://schemas.openxmlformats.org/officeDocument/2006/relationships/image" Target="../media/image7.emf"/><Relationship Id="rId55" Type="http://schemas.openxmlformats.org/officeDocument/2006/relationships/image" Target="../media/image2.emf"/><Relationship Id="rId7" Type="http://schemas.openxmlformats.org/officeDocument/2006/relationships/image" Target="../media/image43.emf"/><Relationship Id="rId12" Type="http://schemas.openxmlformats.org/officeDocument/2006/relationships/image" Target="../media/image38.emf"/><Relationship Id="rId17" Type="http://schemas.openxmlformats.org/officeDocument/2006/relationships/image" Target="../media/image33.emf"/><Relationship Id="rId25" Type="http://schemas.openxmlformats.org/officeDocument/2006/relationships/image" Target="../media/image25.emf"/><Relationship Id="rId33" Type="http://schemas.openxmlformats.org/officeDocument/2006/relationships/image" Target="../media/image17.emf"/><Relationship Id="rId38" Type="http://schemas.openxmlformats.org/officeDocument/2006/relationships/image" Target="../media/image53.emf"/><Relationship Id="rId46" Type="http://schemas.openxmlformats.org/officeDocument/2006/relationships/image" Target="../media/image11.emf"/><Relationship Id="rId2" Type="http://schemas.openxmlformats.org/officeDocument/2006/relationships/image" Target="../media/image47.emf"/><Relationship Id="rId16" Type="http://schemas.openxmlformats.org/officeDocument/2006/relationships/image" Target="../media/image34.emf"/><Relationship Id="rId20" Type="http://schemas.openxmlformats.org/officeDocument/2006/relationships/image" Target="../media/image30.emf"/><Relationship Id="rId29" Type="http://schemas.openxmlformats.org/officeDocument/2006/relationships/image" Target="../media/image21.emf"/><Relationship Id="rId41" Type="http://schemas.openxmlformats.org/officeDocument/2006/relationships/image" Target="../media/image56.emf"/><Relationship Id="rId54" Type="http://schemas.openxmlformats.org/officeDocument/2006/relationships/image" Target="../media/image3.emf"/><Relationship Id="rId1" Type="http://schemas.openxmlformats.org/officeDocument/2006/relationships/image" Target="../media/image46.emf"/><Relationship Id="rId6" Type="http://schemas.openxmlformats.org/officeDocument/2006/relationships/image" Target="../media/image49.emf"/><Relationship Id="rId11" Type="http://schemas.openxmlformats.org/officeDocument/2006/relationships/image" Target="../media/image39.emf"/><Relationship Id="rId24" Type="http://schemas.openxmlformats.org/officeDocument/2006/relationships/image" Target="../media/image26.emf"/><Relationship Id="rId32" Type="http://schemas.openxmlformats.org/officeDocument/2006/relationships/image" Target="../media/image18.emf"/><Relationship Id="rId37" Type="http://schemas.openxmlformats.org/officeDocument/2006/relationships/image" Target="../media/image52.emf"/><Relationship Id="rId40" Type="http://schemas.openxmlformats.org/officeDocument/2006/relationships/image" Target="../media/image55.emf"/><Relationship Id="rId45" Type="http://schemas.openxmlformats.org/officeDocument/2006/relationships/image" Target="../media/image12.emf"/><Relationship Id="rId53" Type="http://schemas.openxmlformats.org/officeDocument/2006/relationships/image" Target="../media/image4.emf"/><Relationship Id="rId5" Type="http://schemas.openxmlformats.org/officeDocument/2006/relationships/image" Target="../media/image48.emf"/><Relationship Id="rId15" Type="http://schemas.openxmlformats.org/officeDocument/2006/relationships/image" Target="../media/image35.emf"/><Relationship Id="rId23" Type="http://schemas.openxmlformats.org/officeDocument/2006/relationships/image" Target="../media/image27.emf"/><Relationship Id="rId28" Type="http://schemas.openxmlformats.org/officeDocument/2006/relationships/image" Target="../media/image22.emf"/><Relationship Id="rId36" Type="http://schemas.openxmlformats.org/officeDocument/2006/relationships/image" Target="../media/image51.emf"/><Relationship Id="rId49" Type="http://schemas.openxmlformats.org/officeDocument/2006/relationships/image" Target="../media/image8.emf"/><Relationship Id="rId10" Type="http://schemas.openxmlformats.org/officeDocument/2006/relationships/image" Target="../media/image40.emf"/><Relationship Id="rId19" Type="http://schemas.openxmlformats.org/officeDocument/2006/relationships/image" Target="../media/image31.emf"/><Relationship Id="rId31" Type="http://schemas.openxmlformats.org/officeDocument/2006/relationships/image" Target="../media/image19.emf"/><Relationship Id="rId44" Type="http://schemas.openxmlformats.org/officeDocument/2006/relationships/image" Target="../media/image13.emf"/><Relationship Id="rId52" Type="http://schemas.openxmlformats.org/officeDocument/2006/relationships/image" Target="../media/image5.emf"/><Relationship Id="rId4" Type="http://schemas.openxmlformats.org/officeDocument/2006/relationships/image" Target="../media/image44.emf"/><Relationship Id="rId9" Type="http://schemas.openxmlformats.org/officeDocument/2006/relationships/image" Target="../media/image41.emf"/><Relationship Id="rId14" Type="http://schemas.openxmlformats.org/officeDocument/2006/relationships/image" Target="../media/image36.emf"/><Relationship Id="rId22" Type="http://schemas.openxmlformats.org/officeDocument/2006/relationships/image" Target="../media/image28.emf"/><Relationship Id="rId27" Type="http://schemas.openxmlformats.org/officeDocument/2006/relationships/image" Target="../media/image23.emf"/><Relationship Id="rId30" Type="http://schemas.openxmlformats.org/officeDocument/2006/relationships/image" Target="../media/image20.emf"/><Relationship Id="rId35" Type="http://schemas.openxmlformats.org/officeDocument/2006/relationships/image" Target="../media/image50.emf"/><Relationship Id="rId43" Type="http://schemas.openxmlformats.org/officeDocument/2006/relationships/image" Target="../media/image14.emf"/><Relationship Id="rId48" Type="http://schemas.openxmlformats.org/officeDocument/2006/relationships/image" Target="../media/image9.emf"/><Relationship Id="rId56" Type="http://schemas.openxmlformats.org/officeDocument/2006/relationships/image" Target="../media/image1.emf"/><Relationship Id="rId8" Type="http://schemas.openxmlformats.org/officeDocument/2006/relationships/image" Target="../media/image42.emf"/><Relationship Id="rId51" Type="http://schemas.openxmlformats.org/officeDocument/2006/relationships/image" Target="../media/image6.emf"/><Relationship Id="rId3" Type="http://schemas.openxmlformats.org/officeDocument/2006/relationships/image" Target="../media/image45.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60.emf"/><Relationship Id="rId2" Type="http://schemas.openxmlformats.org/officeDocument/2006/relationships/image" Target="../media/image61.emf"/><Relationship Id="rId1" Type="http://schemas.openxmlformats.org/officeDocument/2006/relationships/image" Target="../media/image62.emf"/><Relationship Id="rId6" Type="http://schemas.openxmlformats.org/officeDocument/2006/relationships/image" Target="../media/image57.emf"/><Relationship Id="rId5" Type="http://schemas.openxmlformats.org/officeDocument/2006/relationships/image" Target="../media/image58.emf"/><Relationship Id="rId4" Type="http://schemas.openxmlformats.org/officeDocument/2006/relationships/image" Target="../media/image59.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70.emf"/><Relationship Id="rId3" Type="http://schemas.openxmlformats.org/officeDocument/2006/relationships/image" Target="../media/image65.emf"/><Relationship Id="rId7" Type="http://schemas.openxmlformats.org/officeDocument/2006/relationships/image" Target="../media/image69.emf"/><Relationship Id="rId2" Type="http://schemas.openxmlformats.org/officeDocument/2006/relationships/image" Target="../media/image64.emf"/><Relationship Id="rId1" Type="http://schemas.openxmlformats.org/officeDocument/2006/relationships/image" Target="../media/image63.emf"/><Relationship Id="rId6" Type="http://schemas.openxmlformats.org/officeDocument/2006/relationships/image" Target="../media/image68.emf"/><Relationship Id="rId5" Type="http://schemas.openxmlformats.org/officeDocument/2006/relationships/image" Target="../media/image67.emf"/><Relationship Id="rId4" Type="http://schemas.openxmlformats.org/officeDocument/2006/relationships/image" Target="../media/image66.emf"/><Relationship Id="rId9" Type="http://schemas.openxmlformats.org/officeDocument/2006/relationships/image" Target="../media/image71.emf"/></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19050</xdr:rowOff>
    </xdr:from>
    <xdr:to>
      <xdr:col>13</xdr:col>
      <xdr:colOff>695325</xdr:colOff>
      <xdr:row>34</xdr:row>
      <xdr:rowOff>152400</xdr:rowOff>
    </xdr:to>
    <xdr:sp macro="" textlink="">
      <xdr:nvSpPr>
        <xdr:cNvPr id="2" name="TekstSylinder 1"/>
        <xdr:cNvSpPr txBox="1"/>
      </xdr:nvSpPr>
      <xdr:spPr>
        <a:xfrm>
          <a:off x="19049" y="19050"/>
          <a:ext cx="10582276" cy="6610350"/>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2">
          <a:schemeClr val="accent3"/>
        </a:fillRef>
        <a:effectRef idx="1">
          <a:schemeClr val="accent3"/>
        </a:effectRef>
        <a:fontRef idx="minor">
          <a:schemeClr val="dk1"/>
        </a:fontRef>
      </xdr:style>
      <xdr:txBody>
        <a:bodyPr vertOverflow="clip" horzOverflow="clip" wrap="square" lIns="180000" tIns="72000" rIns="144000" rtlCol="0" anchor="t"/>
        <a:lstStyle/>
        <a:p>
          <a:endParaRPr lang="en-GB" sz="1100"/>
        </a:p>
        <a:p>
          <a:pPr algn="ctr"/>
          <a:r>
            <a:rPr lang="en-GB" sz="1400" b="1"/>
            <a:t>NISOL forsyningskjedekalkulator</a:t>
          </a:r>
          <a:r>
            <a:rPr lang="en-GB" sz="1400" b="1" baseline="0"/>
            <a:t> for skogsbrensel.</a:t>
          </a:r>
          <a:endParaRPr lang="en-GB" sz="1400" b="1"/>
        </a:p>
        <a:p>
          <a:endParaRPr lang="en-GB" sz="1100"/>
        </a:p>
        <a:p>
          <a:r>
            <a:rPr lang="en-GB" sz="1100"/>
            <a:t>Denne</a:t>
          </a:r>
          <a:r>
            <a:rPr lang="en-GB" sz="1100" baseline="0"/>
            <a:t> forsyningskjedekalkulatoren skal være til hjelp når en vurderer ulike forsyningskjeder for skogsbrenselproduksjon. Den kan også benyttes til å gjøre egne estimater på maskinkostnader for skogsmaskiner og flishoggere.  </a:t>
          </a:r>
        </a:p>
        <a:p>
          <a:endParaRPr lang="en-GB" sz="1100" baseline="0"/>
        </a:p>
        <a:p>
          <a:r>
            <a:rPr lang="en-GB" sz="1100" baseline="0"/>
            <a:t>Forsyningskjedekalkulatoren følger virke fra stubbe til fyrkjel. Første post (se fanen "forsyningskjeder") heter "avvirkning", hvor brukeren velger en avvirkningsmaskin. Virke kan så kjøres direkte ut med lassbærer ("terrengtransport"), eller det kan buntes  eller flishogges forut for terrengtransporten ("Prosess terreng"). Brukeren av kalkulatoren kan gjøre endringer i alle celler som hører under "Inndata".  Dette vil i sin tur endre resultatene i alle celler som hører under "Utdata", og i resultatene som vises i fanen "Forsyningskjeder". </a:t>
          </a:r>
        </a:p>
        <a:p>
          <a:endParaRPr lang="en-GB" sz="1100" baseline="0"/>
        </a:p>
        <a:p>
          <a:r>
            <a:rPr lang="en-GB" sz="1100" baseline="0"/>
            <a:t>I fanen  "Forsyningskjeder" defineres de ulike forsyningskjedene.  Alle input hentes fra arkfanene som definerer de ulike prosessene ("Avvirkning", "Prosess terreng", "Terrengtransport", osv. ). Om ingen maskiner skal benyttes velges alternativ "Ingen".</a:t>
          </a:r>
        </a:p>
        <a:p>
          <a:endParaRPr lang="en-GB" sz="1100" baseline="0"/>
        </a:p>
        <a:p>
          <a:r>
            <a:rPr lang="en-GB" sz="1100" baseline="0"/>
            <a:t> I fanen "Forutsetninger" angis parametere som påvirker alle aktører i forsyningskjeden. Eksempelvis størrelsen på hogstobjekter, lønnskostnader for maskinoperatører, rentenivå, og omregningsfaktorer mellom fastkubikkmeter, fliskubikkmeter, og tørrstoffmengde. </a:t>
          </a:r>
        </a:p>
        <a:p>
          <a:endParaRPr lang="en-GB" sz="1100" baseline="0"/>
        </a:p>
        <a:p>
          <a:r>
            <a:rPr lang="en-GB" sz="1100" baseline="0"/>
            <a:t>I de øvrige fanene beregnes maskinkostnadene for den enkelte maskin som er involvert, samt at brukeren angir parametere som påvirker produktiviteten (motoreffekt, lassvolum, nyttelast, hastighet osv). Ut fra dette beregnes enhetskostnadene (kroner per fastkubikkmeter) i hvert ledd. Produktiviteten er enten beregnet ut fra kjente produktivitetsfunksjoner ekker anslått. I begge tilfeller kan brukeren gjøre endringer ut fra egne erfaringer.  Nye maskiner kan også legges inn i  tomme kolonner.  Om en legger inn nye maskiner her, vil de umiddelbart kunne velges i fanen "Forsyningskjeder".</a:t>
          </a:r>
        </a:p>
        <a:p>
          <a:endParaRPr lang="en-GB" sz="1100" baseline="0"/>
        </a:p>
        <a:p>
          <a:r>
            <a:rPr lang="en-GB" sz="1100" baseline="0"/>
            <a:t>Det er viktig å huske mantraet "Shit in - shit out". Gode anslag på produktivitet eller kostnader for en enkelt maskin vil gi riktige resultater både for den enkelte maskin og for forsyningskjeden som helhet. Her finnes skjelden noen fasit, bare velfundert kvalifisert gjetning. </a:t>
          </a:r>
        </a:p>
        <a:p>
          <a:endParaRPr lang="en-GB" sz="1100" baseline="0"/>
        </a:p>
        <a:p>
          <a:r>
            <a:rPr lang="en-GB" sz="1100" baseline="0"/>
            <a:t>Dette er første versjon av kalkulatoren, vi er glade for tilbakemeldinger om brukeren finner feil eller foreslår endringer i oppsettet. Kommentarer sendes beh(a)skogogkandskap.no. </a:t>
          </a:r>
        </a:p>
        <a:p>
          <a:endParaRPr lang="en-GB" sz="1100" baseline="0"/>
        </a:p>
        <a:p>
          <a:r>
            <a:rPr lang="en-GB" sz="1100" baseline="0"/>
            <a:t>Steinkjer, 29. april 2015,</a:t>
          </a:r>
        </a:p>
        <a:p>
          <a:r>
            <a:rPr lang="en-GB" sz="1100" baseline="0"/>
            <a:t>Helmer Belbo</a:t>
          </a:r>
        </a:p>
        <a:p>
          <a:r>
            <a:rPr lang="en-GB" sz="1100" baseline="0"/>
            <a:t>Norsk Institutt for Skog og Landskap</a:t>
          </a:r>
        </a:p>
        <a:p>
          <a:r>
            <a:rPr lang="en-GB" sz="1100" baseline="0"/>
            <a:t>www.skogoglandskap.no</a:t>
          </a:r>
        </a:p>
        <a:p>
          <a:r>
            <a:rPr lang="en-GB" sz="1100" baseline="0"/>
            <a:t>www.cenbio.no</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5</xdr:row>
          <xdr:rowOff>28575</xdr:rowOff>
        </xdr:from>
        <xdr:to>
          <xdr:col>2</xdr:col>
          <xdr:colOff>1162050</xdr:colOff>
          <xdr:row>5</xdr:row>
          <xdr:rowOff>257175</xdr:rowOff>
        </xdr:to>
        <xdr:sp macro="" textlink="">
          <xdr:nvSpPr>
            <xdr:cNvPr id="4106" name="ComboBox2"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28575</xdr:rowOff>
        </xdr:from>
        <xdr:to>
          <xdr:col>3</xdr:col>
          <xdr:colOff>1152525</xdr:colOff>
          <xdr:row>5</xdr:row>
          <xdr:rowOff>257175</xdr:rowOff>
        </xdr:to>
        <xdr:sp macro="" textlink="">
          <xdr:nvSpPr>
            <xdr:cNvPr id="4107" name="ComboBox3"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28575</xdr:rowOff>
        </xdr:from>
        <xdr:to>
          <xdr:col>6</xdr:col>
          <xdr:colOff>0</xdr:colOff>
          <xdr:row>5</xdr:row>
          <xdr:rowOff>257175</xdr:rowOff>
        </xdr:to>
        <xdr:sp macro="" textlink="">
          <xdr:nvSpPr>
            <xdr:cNvPr id="4109" name="ComboBox4" hidden="1">
              <a:extLst>
                <a:ext uri="{63B3BB69-23CF-44E3-9099-C40C66FF867C}">
                  <a14:compatExt spid="_x0000_s4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28575</xdr:rowOff>
        </xdr:from>
        <xdr:to>
          <xdr:col>4</xdr:col>
          <xdr:colOff>1171575</xdr:colOff>
          <xdr:row>5</xdr:row>
          <xdr:rowOff>257175</xdr:rowOff>
        </xdr:to>
        <xdr:sp macro="" textlink="">
          <xdr:nvSpPr>
            <xdr:cNvPr id="4110" name="ComboBox5" hidden="1">
              <a:extLst>
                <a:ext uri="{63B3BB69-23CF-44E3-9099-C40C66FF867C}">
                  <a14:compatExt spid="_x0000_s4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xdr:row>
          <xdr:rowOff>28575</xdr:rowOff>
        </xdr:from>
        <xdr:to>
          <xdr:col>6</xdr:col>
          <xdr:colOff>1190625</xdr:colOff>
          <xdr:row>5</xdr:row>
          <xdr:rowOff>257175</xdr:rowOff>
        </xdr:to>
        <xdr:sp macro="" textlink="">
          <xdr:nvSpPr>
            <xdr:cNvPr id="4111" name="ComboBox6"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7</xdr:col>
          <xdr:colOff>1143000</xdr:colOff>
          <xdr:row>5</xdr:row>
          <xdr:rowOff>257175</xdr:rowOff>
        </xdr:to>
        <xdr:sp macro="" textlink="">
          <xdr:nvSpPr>
            <xdr:cNvPr id="4112" name="ComboBox7"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38100</xdr:rowOff>
        </xdr:from>
        <xdr:to>
          <xdr:col>2</xdr:col>
          <xdr:colOff>1162050</xdr:colOff>
          <xdr:row>7</xdr:row>
          <xdr:rowOff>0</xdr:rowOff>
        </xdr:to>
        <xdr:sp macro="" textlink="">
          <xdr:nvSpPr>
            <xdr:cNvPr id="4122" name="ComboBox17"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38100</xdr:rowOff>
        </xdr:from>
        <xdr:to>
          <xdr:col>2</xdr:col>
          <xdr:colOff>1162050</xdr:colOff>
          <xdr:row>8</xdr:row>
          <xdr:rowOff>0</xdr:rowOff>
        </xdr:to>
        <xdr:sp macro="" textlink="">
          <xdr:nvSpPr>
            <xdr:cNvPr id="4123" name="ComboBox18"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38100</xdr:rowOff>
        </xdr:from>
        <xdr:to>
          <xdr:col>2</xdr:col>
          <xdr:colOff>1162050</xdr:colOff>
          <xdr:row>9</xdr:row>
          <xdr:rowOff>0</xdr:rowOff>
        </xdr:to>
        <xdr:sp macro="" textlink="">
          <xdr:nvSpPr>
            <xdr:cNvPr id="4124" name="ComboBox19"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28575</xdr:rowOff>
        </xdr:from>
        <xdr:to>
          <xdr:col>2</xdr:col>
          <xdr:colOff>1162050</xdr:colOff>
          <xdr:row>9</xdr:row>
          <xdr:rowOff>257175</xdr:rowOff>
        </xdr:to>
        <xdr:sp macro="" textlink="">
          <xdr:nvSpPr>
            <xdr:cNvPr id="4125" name="ComboBox20"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19050</xdr:rowOff>
        </xdr:from>
        <xdr:to>
          <xdr:col>2</xdr:col>
          <xdr:colOff>1162050</xdr:colOff>
          <xdr:row>10</xdr:row>
          <xdr:rowOff>247650</xdr:rowOff>
        </xdr:to>
        <xdr:sp macro="" textlink="">
          <xdr:nvSpPr>
            <xdr:cNvPr id="4126" name="ComboBox21"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19050</xdr:rowOff>
        </xdr:from>
        <xdr:to>
          <xdr:col>2</xdr:col>
          <xdr:colOff>1162050</xdr:colOff>
          <xdr:row>11</xdr:row>
          <xdr:rowOff>247650</xdr:rowOff>
        </xdr:to>
        <xdr:sp macro="" textlink="">
          <xdr:nvSpPr>
            <xdr:cNvPr id="4127" name="ComboBox22"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19050</xdr:rowOff>
        </xdr:from>
        <xdr:to>
          <xdr:col>2</xdr:col>
          <xdr:colOff>1162050</xdr:colOff>
          <xdr:row>12</xdr:row>
          <xdr:rowOff>247650</xdr:rowOff>
        </xdr:to>
        <xdr:sp macro="" textlink="">
          <xdr:nvSpPr>
            <xdr:cNvPr id="4128" name="ComboBox23"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38100</xdr:rowOff>
        </xdr:from>
        <xdr:to>
          <xdr:col>3</xdr:col>
          <xdr:colOff>1171575</xdr:colOff>
          <xdr:row>7</xdr:row>
          <xdr:rowOff>0</xdr:rowOff>
        </xdr:to>
        <xdr:sp macro="" textlink="">
          <xdr:nvSpPr>
            <xdr:cNvPr id="4131" name="ComboBox26"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38100</xdr:rowOff>
        </xdr:from>
        <xdr:to>
          <xdr:col>3</xdr:col>
          <xdr:colOff>1181100</xdr:colOff>
          <xdr:row>8</xdr:row>
          <xdr:rowOff>0</xdr:rowOff>
        </xdr:to>
        <xdr:sp macro="" textlink="">
          <xdr:nvSpPr>
            <xdr:cNvPr id="4132" name="ComboBox27"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38100</xdr:rowOff>
        </xdr:from>
        <xdr:to>
          <xdr:col>3</xdr:col>
          <xdr:colOff>1171575</xdr:colOff>
          <xdr:row>9</xdr:row>
          <xdr:rowOff>0</xdr:rowOff>
        </xdr:to>
        <xdr:sp macro="" textlink="">
          <xdr:nvSpPr>
            <xdr:cNvPr id="4133" name="ComboBox28"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28575</xdr:rowOff>
        </xdr:from>
        <xdr:to>
          <xdr:col>3</xdr:col>
          <xdr:colOff>1181100</xdr:colOff>
          <xdr:row>9</xdr:row>
          <xdr:rowOff>257175</xdr:rowOff>
        </xdr:to>
        <xdr:sp macro="" textlink="">
          <xdr:nvSpPr>
            <xdr:cNvPr id="4134" name="ComboBox29"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19050</xdr:rowOff>
        </xdr:from>
        <xdr:to>
          <xdr:col>3</xdr:col>
          <xdr:colOff>1190625</xdr:colOff>
          <xdr:row>10</xdr:row>
          <xdr:rowOff>247650</xdr:rowOff>
        </xdr:to>
        <xdr:sp macro="" textlink="">
          <xdr:nvSpPr>
            <xdr:cNvPr id="4135" name="ComboBox30"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19050</xdr:rowOff>
        </xdr:from>
        <xdr:to>
          <xdr:col>3</xdr:col>
          <xdr:colOff>1190625</xdr:colOff>
          <xdr:row>11</xdr:row>
          <xdr:rowOff>247650</xdr:rowOff>
        </xdr:to>
        <xdr:sp macro="" textlink="">
          <xdr:nvSpPr>
            <xdr:cNvPr id="4136" name="ComboBox31"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19050</xdr:rowOff>
        </xdr:from>
        <xdr:to>
          <xdr:col>3</xdr:col>
          <xdr:colOff>1181100</xdr:colOff>
          <xdr:row>12</xdr:row>
          <xdr:rowOff>247650</xdr:rowOff>
        </xdr:to>
        <xdr:sp macro="" textlink="">
          <xdr:nvSpPr>
            <xdr:cNvPr id="4137" name="ComboBox32"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38100</xdr:rowOff>
        </xdr:from>
        <xdr:to>
          <xdr:col>4</xdr:col>
          <xdr:colOff>1171575</xdr:colOff>
          <xdr:row>7</xdr:row>
          <xdr:rowOff>0</xdr:rowOff>
        </xdr:to>
        <xdr:sp macro="" textlink="">
          <xdr:nvSpPr>
            <xdr:cNvPr id="4140" name="ComboBox35" hidden="1">
              <a:extLst>
                <a:ext uri="{63B3BB69-23CF-44E3-9099-C40C66FF867C}">
                  <a14:compatExt spid="_x0000_s41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38100</xdr:rowOff>
        </xdr:from>
        <xdr:to>
          <xdr:col>4</xdr:col>
          <xdr:colOff>1171575</xdr:colOff>
          <xdr:row>8</xdr:row>
          <xdr:rowOff>0</xdr:rowOff>
        </xdr:to>
        <xdr:sp macro="" textlink="">
          <xdr:nvSpPr>
            <xdr:cNvPr id="4141" name="ComboBox36" hidden="1">
              <a:extLst>
                <a:ext uri="{63B3BB69-23CF-44E3-9099-C40C66FF867C}">
                  <a14:compatExt spid="_x0000_s4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38100</xdr:rowOff>
        </xdr:from>
        <xdr:to>
          <xdr:col>4</xdr:col>
          <xdr:colOff>1171575</xdr:colOff>
          <xdr:row>9</xdr:row>
          <xdr:rowOff>0</xdr:rowOff>
        </xdr:to>
        <xdr:sp macro="" textlink="">
          <xdr:nvSpPr>
            <xdr:cNvPr id="4142" name="ComboBox37" hidden="1">
              <a:extLst>
                <a:ext uri="{63B3BB69-23CF-44E3-9099-C40C66FF867C}">
                  <a14:compatExt spid="_x0000_s41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28575</xdr:rowOff>
        </xdr:from>
        <xdr:to>
          <xdr:col>4</xdr:col>
          <xdr:colOff>1171575</xdr:colOff>
          <xdr:row>9</xdr:row>
          <xdr:rowOff>257175</xdr:rowOff>
        </xdr:to>
        <xdr:sp macro="" textlink="">
          <xdr:nvSpPr>
            <xdr:cNvPr id="4143" name="ComboBox38" hidden="1">
              <a:extLst>
                <a:ext uri="{63B3BB69-23CF-44E3-9099-C40C66FF867C}">
                  <a14:compatExt spid="_x0000_s4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19050</xdr:rowOff>
        </xdr:from>
        <xdr:to>
          <xdr:col>4</xdr:col>
          <xdr:colOff>1171575</xdr:colOff>
          <xdr:row>10</xdr:row>
          <xdr:rowOff>247650</xdr:rowOff>
        </xdr:to>
        <xdr:sp macro="" textlink="">
          <xdr:nvSpPr>
            <xdr:cNvPr id="4144" name="ComboBox39" hidden="1">
              <a:extLst>
                <a:ext uri="{63B3BB69-23CF-44E3-9099-C40C66FF867C}">
                  <a14:compatExt spid="_x0000_s4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19050</xdr:rowOff>
        </xdr:from>
        <xdr:to>
          <xdr:col>4</xdr:col>
          <xdr:colOff>1171575</xdr:colOff>
          <xdr:row>11</xdr:row>
          <xdr:rowOff>247650</xdr:rowOff>
        </xdr:to>
        <xdr:sp macro="" textlink="">
          <xdr:nvSpPr>
            <xdr:cNvPr id="4145" name="ComboBox40" hidden="1">
              <a:extLst>
                <a:ext uri="{63B3BB69-23CF-44E3-9099-C40C66FF867C}">
                  <a14:compatExt spid="_x0000_s4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19050</xdr:rowOff>
        </xdr:from>
        <xdr:to>
          <xdr:col>4</xdr:col>
          <xdr:colOff>1171575</xdr:colOff>
          <xdr:row>12</xdr:row>
          <xdr:rowOff>247650</xdr:rowOff>
        </xdr:to>
        <xdr:sp macro="" textlink="">
          <xdr:nvSpPr>
            <xdr:cNvPr id="4146" name="ComboBox41" hidden="1">
              <a:extLst>
                <a:ext uri="{63B3BB69-23CF-44E3-9099-C40C66FF867C}">
                  <a14:compatExt spid="_x0000_s41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38100</xdr:rowOff>
        </xdr:from>
        <xdr:to>
          <xdr:col>5</xdr:col>
          <xdr:colOff>1419225</xdr:colOff>
          <xdr:row>7</xdr:row>
          <xdr:rowOff>0</xdr:rowOff>
        </xdr:to>
        <xdr:sp macro="" textlink="">
          <xdr:nvSpPr>
            <xdr:cNvPr id="4149" name="ComboBox44" hidden="1">
              <a:extLst>
                <a:ext uri="{63B3BB69-23CF-44E3-9099-C40C66FF867C}">
                  <a14:compatExt spid="_x0000_s4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38100</xdr:rowOff>
        </xdr:from>
        <xdr:to>
          <xdr:col>5</xdr:col>
          <xdr:colOff>1428750</xdr:colOff>
          <xdr:row>7</xdr:row>
          <xdr:rowOff>257175</xdr:rowOff>
        </xdr:to>
        <xdr:sp macro="" textlink="">
          <xdr:nvSpPr>
            <xdr:cNvPr id="4150" name="ComboBox45" hidden="1">
              <a:extLst>
                <a:ext uri="{63B3BB69-23CF-44E3-9099-C40C66FF867C}">
                  <a14:compatExt spid="_x0000_s41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38100</xdr:rowOff>
        </xdr:from>
        <xdr:to>
          <xdr:col>6</xdr:col>
          <xdr:colOff>9525</xdr:colOff>
          <xdr:row>9</xdr:row>
          <xdr:rowOff>0</xdr:rowOff>
        </xdr:to>
        <xdr:sp macro="" textlink="">
          <xdr:nvSpPr>
            <xdr:cNvPr id="4151" name="ComboBox46" hidden="1">
              <a:extLst>
                <a:ext uri="{63B3BB69-23CF-44E3-9099-C40C66FF867C}">
                  <a14:compatExt spid="_x0000_s4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28575</xdr:rowOff>
        </xdr:from>
        <xdr:to>
          <xdr:col>5</xdr:col>
          <xdr:colOff>1447800</xdr:colOff>
          <xdr:row>9</xdr:row>
          <xdr:rowOff>257175</xdr:rowOff>
        </xdr:to>
        <xdr:sp macro="" textlink="">
          <xdr:nvSpPr>
            <xdr:cNvPr id="4152" name="ComboBox47" hidden="1">
              <a:extLst>
                <a:ext uri="{63B3BB69-23CF-44E3-9099-C40C66FF867C}">
                  <a14:compatExt spid="_x0000_s4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19050</xdr:rowOff>
        </xdr:from>
        <xdr:to>
          <xdr:col>5</xdr:col>
          <xdr:colOff>1447800</xdr:colOff>
          <xdr:row>11</xdr:row>
          <xdr:rowOff>9525</xdr:rowOff>
        </xdr:to>
        <xdr:sp macro="" textlink="">
          <xdr:nvSpPr>
            <xdr:cNvPr id="4153" name="ComboBox48" hidden="1">
              <a:extLst>
                <a:ext uri="{63B3BB69-23CF-44E3-9099-C40C66FF867C}">
                  <a14:compatExt spid="_x0000_s41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19050</xdr:rowOff>
        </xdr:from>
        <xdr:to>
          <xdr:col>6</xdr:col>
          <xdr:colOff>9525</xdr:colOff>
          <xdr:row>11</xdr:row>
          <xdr:rowOff>247650</xdr:rowOff>
        </xdr:to>
        <xdr:sp macro="" textlink="">
          <xdr:nvSpPr>
            <xdr:cNvPr id="4154" name="ComboBox49" hidden="1">
              <a:extLst>
                <a:ext uri="{63B3BB69-23CF-44E3-9099-C40C66FF867C}">
                  <a14:compatExt spid="_x0000_s41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19050</xdr:rowOff>
        </xdr:from>
        <xdr:to>
          <xdr:col>5</xdr:col>
          <xdr:colOff>1447800</xdr:colOff>
          <xdr:row>13</xdr:row>
          <xdr:rowOff>0</xdr:rowOff>
        </xdr:to>
        <xdr:sp macro="" textlink="">
          <xdr:nvSpPr>
            <xdr:cNvPr id="4155" name="ComboBox50" hidden="1">
              <a:extLst>
                <a:ext uri="{63B3BB69-23CF-44E3-9099-C40C66FF867C}">
                  <a14:compatExt spid="_x0000_s41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38100</xdr:rowOff>
        </xdr:from>
        <xdr:to>
          <xdr:col>6</xdr:col>
          <xdr:colOff>1190625</xdr:colOff>
          <xdr:row>7</xdr:row>
          <xdr:rowOff>0</xdr:rowOff>
        </xdr:to>
        <xdr:sp macro="" textlink="">
          <xdr:nvSpPr>
            <xdr:cNvPr id="4158" name="ComboBox53"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38100</xdr:rowOff>
        </xdr:from>
        <xdr:to>
          <xdr:col>6</xdr:col>
          <xdr:colOff>1190625</xdr:colOff>
          <xdr:row>8</xdr:row>
          <xdr:rowOff>0</xdr:rowOff>
        </xdr:to>
        <xdr:sp macro="" textlink="">
          <xdr:nvSpPr>
            <xdr:cNvPr id="4159" name="ComboBox54"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38100</xdr:rowOff>
        </xdr:from>
        <xdr:to>
          <xdr:col>6</xdr:col>
          <xdr:colOff>1190625</xdr:colOff>
          <xdr:row>9</xdr:row>
          <xdr:rowOff>0</xdr:rowOff>
        </xdr:to>
        <xdr:sp macro="" textlink="">
          <xdr:nvSpPr>
            <xdr:cNvPr id="4160" name="ComboBox55"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28575</xdr:rowOff>
        </xdr:from>
        <xdr:to>
          <xdr:col>6</xdr:col>
          <xdr:colOff>1190625</xdr:colOff>
          <xdr:row>9</xdr:row>
          <xdr:rowOff>257175</xdr:rowOff>
        </xdr:to>
        <xdr:sp macro="" textlink="">
          <xdr:nvSpPr>
            <xdr:cNvPr id="4161" name="ComboBox56"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19050</xdr:rowOff>
        </xdr:from>
        <xdr:to>
          <xdr:col>6</xdr:col>
          <xdr:colOff>1190625</xdr:colOff>
          <xdr:row>10</xdr:row>
          <xdr:rowOff>247650</xdr:rowOff>
        </xdr:to>
        <xdr:sp macro="" textlink="">
          <xdr:nvSpPr>
            <xdr:cNvPr id="4162" name="ComboBox57"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19050</xdr:rowOff>
        </xdr:from>
        <xdr:to>
          <xdr:col>6</xdr:col>
          <xdr:colOff>1190625</xdr:colOff>
          <xdr:row>11</xdr:row>
          <xdr:rowOff>247650</xdr:rowOff>
        </xdr:to>
        <xdr:sp macro="" textlink="">
          <xdr:nvSpPr>
            <xdr:cNvPr id="4163" name="ComboBox58"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19050</xdr:rowOff>
        </xdr:from>
        <xdr:to>
          <xdr:col>6</xdr:col>
          <xdr:colOff>1190625</xdr:colOff>
          <xdr:row>12</xdr:row>
          <xdr:rowOff>247650</xdr:rowOff>
        </xdr:to>
        <xdr:sp macro="" textlink="">
          <xdr:nvSpPr>
            <xdr:cNvPr id="4164" name="ComboBox59" hidden="1">
              <a:extLst>
                <a:ext uri="{63B3BB69-23CF-44E3-9099-C40C66FF867C}">
                  <a14:compatExt spid="_x0000_s4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38100</xdr:rowOff>
        </xdr:from>
        <xdr:to>
          <xdr:col>7</xdr:col>
          <xdr:colOff>1143000</xdr:colOff>
          <xdr:row>7</xdr:row>
          <xdr:rowOff>0</xdr:rowOff>
        </xdr:to>
        <xdr:sp macro="" textlink="">
          <xdr:nvSpPr>
            <xdr:cNvPr id="4167" name="ComboBox62" hidden="1">
              <a:extLst>
                <a:ext uri="{63B3BB69-23CF-44E3-9099-C40C66FF867C}">
                  <a14:compatExt spid="_x0000_s4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38100</xdr:rowOff>
        </xdr:from>
        <xdr:to>
          <xdr:col>7</xdr:col>
          <xdr:colOff>1143000</xdr:colOff>
          <xdr:row>8</xdr:row>
          <xdr:rowOff>0</xdr:rowOff>
        </xdr:to>
        <xdr:sp macro="" textlink="">
          <xdr:nvSpPr>
            <xdr:cNvPr id="4168" name="ComboBox63" hidden="1">
              <a:extLst>
                <a:ext uri="{63B3BB69-23CF-44E3-9099-C40C66FF867C}">
                  <a14:compatExt spid="_x0000_s4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38100</xdr:rowOff>
        </xdr:from>
        <xdr:to>
          <xdr:col>7</xdr:col>
          <xdr:colOff>1143000</xdr:colOff>
          <xdr:row>9</xdr:row>
          <xdr:rowOff>0</xdr:rowOff>
        </xdr:to>
        <xdr:sp macro="" textlink="">
          <xdr:nvSpPr>
            <xdr:cNvPr id="4169" name="ComboBox64" hidden="1">
              <a:extLst>
                <a:ext uri="{63B3BB69-23CF-44E3-9099-C40C66FF867C}">
                  <a14:compatExt spid="_x0000_s4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28575</xdr:rowOff>
        </xdr:from>
        <xdr:to>
          <xdr:col>7</xdr:col>
          <xdr:colOff>1143000</xdr:colOff>
          <xdr:row>9</xdr:row>
          <xdr:rowOff>257175</xdr:rowOff>
        </xdr:to>
        <xdr:sp macro="" textlink="">
          <xdr:nvSpPr>
            <xdr:cNvPr id="4170" name="ComboBox65" hidden="1">
              <a:extLst>
                <a:ext uri="{63B3BB69-23CF-44E3-9099-C40C66FF867C}">
                  <a14:compatExt spid="_x0000_s4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19050</xdr:rowOff>
        </xdr:from>
        <xdr:to>
          <xdr:col>7</xdr:col>
          <xdr:colOff>1143000</xdr:colOff>
          <xdr:row>10</xdr:row>
          <xdr:rowOff>247650</xdr:rowOff>
        </xdr:to>
        <xdr:sp macro="" textlink="">
          <xdr:nvSpPr>
            <xdr:cNvPr id="4171" name="ComboBox66" hidden="1">
              <a:extLst>
                <a:ext uri="{63B3BB69-23CF-44E3-9099-C40C66FF867C}">
                  <a14:compatExt spid="_x0000_s4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xdr:rowOff>
        </xdr:from>
        <xdr:to>
          <xdr:col>7</xdr:col>
          <xdr:colOff>1143000</xdr:colOff>
          <xdr:row>11</xdr:row>
          <xdr:rowOff>247650</xdr:rowOff>
        </xdr:to>
        <xdr:sp macro="" textlink="">
          <xdr:nvSpPr>
            <xdr:cNvPr id="4172" name="ComboBox67" hidden="1">
              <a:extLst>
                <a:ext uri="{63B3BB69-23CF-44E3-9099-C40C66FF867C}">
                  <a14:compatExt spid="_x0000_s4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19050</xdr:rowOff>
        </xdr:from>
        <xdr:to>
          <xdr:col>7</xdr:col>
          <xdr:colOff>1143000</xdr:colOff>
          <xdr:row>12</xdr:row>
          <xdr:rowOff>247650</xdr:rowOff>
        </xdr:to>
        <xdr:sp macro="" textlink="">
          <xdr:nvSpPr>
            <xdr:cNvPr id="4173" name="ComboBox68" hidden="1">
              <a:extLst>
                <a:ext uri="{63B3BB69-23CF-44E3-9099-C40C66FF867C}">
                  <a14:compatExt spid="_x0000_s4173"/>
                </a:ext>
              </a:extLst>
            </xdr:cNvPr>
            <xdr:cNvSpPr/>
          </xdr:nvSpPr>
          <xdr:spPr>
            <a:xfrm>
              <a:off x="0" y="0"/>
              <a:ext cx="0" cy="0"/>
            </a:xfrm>
            <a:prstGeom prst="rect">
              <a:avLst/>
            </a:prstGeom>
          </xdr:spPr>
        </xdr:sp>
        <xdr:clientData/>
      </xdr:twoCellAnchor>
    </mc:Choice>
    <mc:Fallback/>
  </mc:AlternateContent>
  <xdr:twoCellAnchor>
    <xdr:from>
      <xdr:col>10</xdr:col>
      <xdr:colOff>538162</xdr:colOff>
      <xdr:row>29</xdr:row>
      <xdr:rowOff>57150</xdr:rowOff>
    </xdr:from>
    <xdr:to>
      <xdr:col>16</xdr:col>
      <xdr:colOff>547687</xdr:colOff>
      <xdr:row>41</xdr:row>
      <xdr:rowOff>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9525</xdr:colOff>
          <xdr:row>5</xdr:row>
          <xdr:rowOff>28575</xdr:rowOff>
        </xdr:from>
        <xdr:to>
          <xdr:col>1</xdr:col>
          <xdr:colOff>895350</xdr:colOff>
          <xdr:row>5</xdr:row>
          <xdr:rowOff>257175</xdr:rowOff>
        </xdr:to>
        <xdr:sp macro="" textlink="">
          <xdr:nvSpPr>
            <xdr:cNvPr id="4179" name="ComboBox1" hidden="1">
              <a:extLst>
                <a:ext uri="{63B3BB69-23CF-44E3-9099-C40C66FF867C}">
                  <a14:compatExt spid="_x0000_s4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28575</xdr:rowOff>
        </xdr:from>
        <xdr:to>
          <xdr:col>1</xdr:col>
          <xdr:colOff>895350</xdr:colOff>
          <xdr:row>6</xdr:row>
          <xdr:rowOff>257175</xdr:rowOff>
        </xdr:to>
        <xdr:sp macro="" textlink="">
          <xdr:nvSpPr>
            <xdr:cNvPr id="4180" name="ComboBox8" hidden="1">
              <a:extLst>
                <a:ext uri="{63B3BB69-23CF-44E3-9099-C40C66FF867C}">
                  <a14:compatExt spid="_x0000_s4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28575</xdr:rowOff>
        </xdr:from>
        <xdr:to>
          <xdr:col>1</xdr:col>
          <xdr:colOff>895350</xdr:colOff>
          <xdr:row>7</xdr:row>
          <xdr:rowOff>257175</xdr:rowOff>
        </xdr:to>
        <xdr:sp macro="" textlink="">
          <xdr:nvSpPr>
            <xdr:cNvPr id="4181" name="ComboBox9" hidden="1">
              <a:extLst>
                <a:ext uri="{63B3BB69-23CF-44E3-9099-C40C66FF867C}">
                  <a14:compatExt spid="_x0000_s4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28575</xdr:rowOff>
        </xdr:from>
        <xdr:to>
          <xdr:col>1</xdr:col>
          <xdr:colOff>895350</xdr:colOff>
          <xdr:row>8</xdr:row>
          <xdr:rowOff>257175</xdr:rowOff>
        </xdr:to>
        <xdr:sp macro="" textlink="">
          <xdr:nvSpPr>
            <xdr:cNvPr id="4182" name="ComboBox10" hidden="1">
              <a:extLst>
                <a:ext uri="{63B3BB69-23CF-44E3-9099-C40C66FF867C}">
                  <a14:compatExt spid="_x0000_s4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28575</xdr:rowOff>
        </xdr:from>
        <xdr:to>
          <xdr:col>1</xdr:col>
          <xdr:colOff>895350</xdr:colOff>
          <xdr:row>9</xdr:row>
          <xdr:rowOff>257175</xdr:rowOff>
        </xdr:to>
        <xdr:sp macro="" textlink="">
          <xdr:nvSpPr>
            <xdr:cNvPr id="4183" name="ComboBox11"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28575</xdr:rowOff>
        </xdr:from>
        <xdr:to>
          <xdr:col>1</xdr:col>
          <xdr:colOff>895350</xdr:colOff>
          <xdr:row>10</xdr:row>
          <xdr:rowOff>257175</xdr:rowOff>
        </xdr:to>
        <xdr:sp macro="" textlink="">
          <xdr:nvSpPr>
            <xdr:cNvPr id="4184" name="ComboBox12" hidden="1">
              <a:extLst>
                <a:ext uri="{63B3BB69-23CF-44E3-9099-C40C66FF867C}">
                  <a14:compatExt spid="_x0000_s4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28575</xdr:rowOff>
        </xdr:from>
        <xdr:to>
          <xdr:col>1</xdr:col>
          <xdr:colOff>895350</xdr:colOff>
          <xdr:row>11</xdr:row>
          <xdr:rowOff>257175</xdr:rowOff>
        </xdr:to>
        <xdr:sp macro="" textlink="">
          <xdr:nvSpPr>
            <xdr:cNvPr id="4185" name="ComboBox13" hidden="1">
              <a:extLst>
                <a:ext uri="{63B3BB69-23CF-44E3-9099-C40C66FF867C}">
                  <a14:compatExt spid="_x0000_s4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1</xdr:col>
          <xdr:colOff>895350</xdr:colOff>
          <xdr:row>12</xdr:row>
          <xdr:rowOff>257175</xdr:rowOff>
        </xdr:to>
        <xdr:sp macro="" textlink="">
          <xdr:nvSpPr>
            <xdr:cNvPr id="4186" name="ComboBox14" hidden="1">
              <a:extLst>
                <a:ext uri="{63B3BB69-23CF-44E3-9099-C40C66FF867C}">
                  <a14:compatExt spid="_x0000_s4186"/>
                </a:ext>
              </a:extLst>
            </xdr:cNvPr>
            <xdr:cNvSpPr/>
          </xdr:nvSpPr>
          <xdr:spPr>
            <a:xfrm>
              <a:off x="0" y="0"/>
              <a:ext cx="0" cy="0"/>
            </a:xfrm>
            <a:prstGeom prst="rect">
              <a:avLst/>
            </a:prstGeom>
          </xdr:spPr>
        </xdr:sp>
        <xdr:clientData/>
      </xdr:twoCellAnchor>
    </mc:Choice>
    <mc:Fallback/>
  </mc:AlternateContent>
  <xdr:twoCellAnchor>
    <xdr:from>
      <xdr:col>10</xdr:col>
      <xdr:colOff>554037</xdr:colOff>
      <xdr:row>41</xdr:row>
      <xdr:rowOff>0</xdr:rowOff>
    </xdr:from>
    <xdr:to>
      <xdr:col>16</xdr:col>
      <xdr:colOff>392112</xdr:colOff>
      <xdr:row>51</xdr:row>
      <xdr:rowOff>127000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25400</xdr:rowOff>
    </xdr:from>
    <xdr:to>
      <xdr:col>1</xdr:col>
      <xdr:colOff>38100</xdr:colOff>
      <xdr:row>16</xdr:row>
      <xdr:rowOff>177800</xdr:rowOff>
    </xdr:to>
    <xdr:sp macro="" textlink="">
      <xdr:nvSpPr>
        <xdr:cNvPr id="3" name="TekstSylinder 2"/>
        <xdr:cNvSpPr txBox="1"/>
      </xdr:nvSpPr>
      <xdr:spPr>
        <a:xfrm>
          <a:off x="0" y="4445000"/>
          <a:ext cx="1409700" cy="355600"/>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en-GB" sz="1600" b="1"/>
            <a:t>Resultater:</a:t>
          </a:r>
        </a:p>
      </xdr:txBody>
    </xdr:sp>
    <xdr:clientData/>
  </xdr:twoCellAnchor>
  <xdr:twoCellAnchor>
    <xdr:from>
      <xdr:col>0</xdr:col>
      <xdr:colOff>19050</xdr:colOff>
      <xdr:row>1</xdr:row>
      <xdr:rowOff>142875</xdr:rowOff>
    </xdr:from>
    <xdr:to>
      <xdr:col>1</xdr:col>
      <xdr:colOff>57150</xdr:colOff>
      <xdr:row>2</xdr:row>
      <xdr:rowOff>276225</xdr:rowOff>
    </xdr:to>
    <xdr:sp macro="" textlink="">
      <xdr:nvSpPr>
        <xdr:cNvPr id="61" name="TekstSylinder 60"/>
        <xdr:cNvSpPr txBox="1"/>
      </xdr:nvSpPr>
      <xdr:spPr>
        <a:xfrm>
          <a:off x="19050" y="333375"/>
          <a:ext cx="1409700" cy="323850"/>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en-GB" sz="1600" b="1"/>
            <a:t>Konfigurator: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752475</xdr:colOff>
      <xdr:row>3</xdr:row>
      <xdr:rowOff>133350</xdr:rowOff>
    </xdr:from>
    <xdr:to>
      <xdr:col>7</xdr:col>
      <xdr:colOff>361950</xdr:colOff>
      <xdr:row>15</xdr:row>
      <xdr:rowOff>104775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18</xdr:row>
      <xdr:rowOff>0</xdr:rowOff>
    </xdr:from>
    <xdr:to>
      <xdr:col>7</xdr:col>
      <xdr:colOff>200025</xdr:colOff>
      <xdr:row>28</xdr:row>
      <xdr:rowOff>165100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1143000</xdr:colOff>
          <xdr:row>2</xdr:row>
          <xdr:rowOff>0</xdr:rowOff>
        </xdr:to>
        <xdr:sp macro="" textlink="">
          <xdr:nvSpPr>
            <xdr:cNvPr id="19489" name="ComboBox1" hidden="1">
              <a:extLst>
                <a:ext uri="{63B3BB69-23CF-44E3-9099-C40C66FF867C}">
                  <a14:compatExt spid="_x0000_s19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1143000</xdr:colOff>
          <xdr:row>2</xdr:row>
          <xdr:rowOff>0</xdr:rowOff>
        </xdr:to>
        <xdr:sp macro="" textlink="">
          <xdr:nvSpPr>
            <xdr:cNvPr id="19492" name="ComboBox2"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1143000</xdr:colOff>
          <xdr:row>2</xdr:row>
          <xdr:rowOff>0</xdr:rowOff>
        </xdr:to>
        <xdr:sp macro="" textlink="">
          <xdr:nvSpPr>
            <xdr:cNvPr id="19493" name="ComboBox3"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85725</xdr:colOff>
          <xdr:row>2</xdr:row>
          <xdr:rowOff>0</xdr:rowOff>
        </xdr:to>
        <xdr:sp macro="" textlink="">
          <xdr:nvSpPr>
            <xdr:cNvPr id="19494" name="ComboBox4" hidden="1">
              <a:extLst>
                <a:ext uri="{63B3BB69-23CF-44E3-9099-C40C66FF867C}">
                  <a14:compatExt spid="_x0000_s19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0</xdr:rowOff>
        </xdr:from>
        <xdr:to>
          <xdr:col>6</xdr:col>
          <xdr:colOff>85725</xdr:colOff>
          <xdr:row>2</xdr:row>
          <xdr:rowOff>0</xdr:rowOff>
        </xdr:to>
        <xdr:sp macro="" textlink="">
          <xdr:nvSpPr>
            <xdr:cNvPr id="19495" name="ComboBox5" hidden="1">
              <a:extLst>
                <a:ext uri="{63B3BB69-23CF-44E3-9099-C40C66FF867C}">
                  <a14:compatExt spid="_x0000_s19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7</xdr:col>
          <xdr:colOff>85725</xdr:colOff>
          <xdr:row>2</xdr:row>
          <xdr:rowOff>0</xdr:rowOff>
        </xdr:to>
        <xdr:sp macro="" textlink="">
          <xdr:nvSpPr>
            <xdr:cNvPr id="19496" name="ComboBox6" hidden="1">
              <a:extLst>
                <a:ext uri="{63B3BB69-23CF-44E3-9099-C40C66FF867C}">
                  <a14:compatExt spid="_x0000_s19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xdr:row>
          <xdr:rowOff>0</xdr:rowOff>
        </xdr:from>
        <xdr:to>
          <xdr:col>8</xdr:col>
          <xdr:colOff>85725</xdr:colOff>
          <xdr:row>2</xdr:row>
          <xdr:rowOff>0</xdr:rowOff>
        </xdr:to>
        <xdr:sp macro="" textlink="">
          <xdr:nvSpPr>
            <xdr:cNvPr id="19497" name="ComboBox7" hidden="1">
              <a:extLst>
                <a:ext uri="{63B3BB69-23CF-44E3-9099-C40C66FF867C}">
                  <a14:compatExt spid="_x0000_s1949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28575</xdr:rowOff>
        </xdr:from>
        <xdr:to>
          <xdr:col>1</xdr:col>
          <xdr:colOff>1276350</xdr:colOff>
          <xdr:row>1</xdr:row>
          <xdr:rowOff>228600</xdr:rowOff>
        </xdr:to>
        <xdr:sp macro="" textlink="">
          <xdr:nvSpPr>
            <xdr:cNvPr id="7221" name="ComboBox1"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xdr:row>
          <xdr:rowOff>28575</xdr:rowOff>
        </xdr:from>
        <xdr:to>
          <xdr:col>2</xdr:col>
          <xdr:colOff>1285875</xdr:colOff>
          <xdr:row>1</xdr:row>
          <xdr:rowOff>228600</xdr:rowOff>
        </xdr:to>
        <xdr:sp macro="" textlink="">
          <xdr:nvSpPr>
            <xdr:cNvPr id="7223" name="ComboBox2"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xdr:row>
          <xdr:rowOff>28575</xdr:rowOff>
        </xdr:from>
        <xdr:to>
          <xdr:col>3</xdr:col>
          <xdr:colOff>1276350</xdr:colOff>
          <xdr:row>1</xdr:row>
          <xdr:rowOff>228600</xdr:rowOff>
        </xdr:to>
        <xdr:sp macro="" textlink="">
          <xdr:nvSpPr>
            <xdr:cNvPr id="7224" name="ComboBox3"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28575</xdr:rowOff>
        </xdr:from>
        <xdr:to>
          <xdr:col>4</xdr:col>
          <xdr:colOff>1095375</xdr:colOff>
          <xdr:row>1</xdr:row>
          <xdr:rowOff>209550</xdr:rowOff>
        </xdr:to>
        <xdr:sp macro="" textlink="">
          <xdr:nvSpPr>
            <xdr:cNvPr id="7225" name="ComboBox4"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xdr:row>
          <xdr:rowOff>47625</xdr:rowOff>
        </xdr:from>
        <xdr:to>
          <xdr:col>5</xdr:col>
          <xdr:colOff>1019175</xdr:colOff>
          <xdr:row>1</xdr:row>
          <xdr:rowOff>219075</xdr:rowOff>
        </xdr:to>
        <xdr:sp macro="" textlink="">
          <xdr:nvSpPr>
            <xdr:cNvPr id="7226" name="ComboBox5"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xdr:row>
          <xdr:rowOff>28575</xdr:rowOff>
        </xdr:from>
        <xdr:to>
          <xdr:col>6</xdr:col>
          <xdr:colOff>933450</xdr:colOff>
          <xdr:row>1</xdr:row>
          <xdr:rowOff>219075</xdr:rowOff>
        </xdr:to>
        <xdr:sp macro="" textlink="">
          <xdr:nvSpPr>
            <xdr:cNvPr id="7227" name="ComboBox6"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xdr:row>
          <xdr:rowOff>28575</xdr:rowOff>
        </xdr:from>
        <xdr:to>
          <xdr:col>8</xdr:col>
          <xdr:colOff>0</xdr:colOff>
          <xdr:row>1</xdr:row>
          <xdr:rowOff>228600</xdr:rowOff>
        </xdr:to>
        <xdr:sp macro="" textlink="">
          <xdr:nvSpPr>
            <xdr:cNvPr id="7228" name="ComboBox7"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xdr:row>
          <xdr:rowOff>38100</xdr:rowOff>
        </xdr:from>
        <xdr:to>
          <xdr:col>9</xdr:col>
          <xdr:colOff>9525</xdr:colOff>
          <xdr:row>1</xdr:row>
          <xdr:rowOff>228600</xdr:rowOff>
        </xdr:to>
        <xdr:sp macro="" textlink="">
          <xdr:nvSpPr>
            <xdr:cNvPr id="7229" name="ComboBox8"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xdr:row>
          <xdr:rowOff>28575</xdr:rowOff>
        </xdr:from>
        <xdr:to>
          <xdr:col>10</xdr:col>
          <xdr:colOff>0</xdr:colOff>
          <xdr:row>2</xdr:row>
          <xdr:rowOff>0</xdr:rowOff>
        </xdr:to>
        <xdr:sp macro="" textlink="">
          <xdr:nvSpPr>
            <xdr:cNvPr id="7230" name="ComboBox9"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690562</xdr:colOff>
      <xdr:row>9</xdr:row>
      <xdr:rowOff>104775</xdr:rowOff>
    </xdr:from>
    <xdr:to>
      <xdr:col>11</xdr:col>
      <xdr:colOff>690562</xdr:colOff>
      <xdr:row>23</xdr:row>
      <xdr:rowOff>180975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71437</xdr:colOff>
      <xdr:row>7</xdr:row>
      <xdr:rowOff>57150</xdr:rowOff>
    </xdr:from>
    <xdr:to>
      <xdr:col>17</xdr:col>
      <xdr:colOff>71437</xdr:colOff>
      <xdr:row>21</xdr:row>
      <xdr:rowOff>133350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102" Type="http://schemas.openxmlformats.org/officeDocument/2006/relationships/control" Target="../activeX/activeX50.xml"/><Relationship Id="rId110" Type="http://schemas.openxmlformats.org/officeDocument/2006/relationships/control" Target="../activeX/activeX54.xml"/><Relationship Id="rId115" Type="http://schemas.openxmlformats.org/officeDocument/2006/relationships/image" Target="../media/image56.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13" Type="http://schemas.openxmlformats.org/officeDocument/2006/relationships/image" Target="../media/image55.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mments" Target="../comments1.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29" Type="http://schemas.openxmlformats.org/officeDocument/2006/relationships/image" Target="../media/image13.emf"/></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59.xml"/><Relationship Id="rId13" Type="http://schemas.openxmlformats.org/officeDocument/2006/relationships/control" Target="../activeX/activeX62.xml"/><Relationship Id="rId3" Type="http://schemas.openxmlformats.org/officeDocument/2006/relationships/vmlDrawing" Target="../drawings/vmlDrawing6.vml"/><Relationship Id="rId7" Type="http://schemas.openxmlformats.org/officeDocument/2006/relationships/image" Target="../media/image58.emf"/><Relationship Id="rId12" Type="http://schemas.openxmlformats.org/officeDocument/2006/relationships/image" Target="../media/image60.emf"/><Relationship Id="rId17" Type="http://schemas.openxmlformats.org/officeDocument/2006/relationships/comments" Target="../comments6.xml"/><Relationship Id="rId2" Type="http://schemas.openxmlformats.org/officeDocument/2006/relationships/drawing" Target="../drawings/drawing4.xml"/><Relationship Id="rId16" Type="http://schemas.openxmlformats.org/officeDocument/2006/relationships/image" Target="../media/image62.emf"/><Relationship Id="rId1" Type="http://schemas.openxmlformats.org/officeDocument/2006/relationships/printerSettings" Target="../printerSettings/printerSettings6.bin"/><Relationship Id="rId6" Type="http://schemas.openxmlformats.org/officeDocument/2006/relationships/control" Target="../activeX/activeX58.xml"/><Relationship Id="rId11" Type="http://schemas.openxmlformats.org/officeDocument/2006/relationships/control" Target="../activeX/activeX61.xml"/><Relationship Id="rId5" Type="http://schemas.openxmlformats.org/officeDocument/2006/relationships/image" Target="../media/image57.emf"/><Relationship Id="rId15" Type="http://schemas.openxmlformats.org/officeDocument/2006/relationships/control" Target="../activeX/activeX63.xml"/><Relationship Id="rId10" Type="http://schemas.openxmlformats.org/officeDocument/2006/relationships/image" Target="../media/image59.emf"/><Relationship Id="rId4" Type="http://schemas.openxmlformats.org/officeDocument/2006/relationships/control" Target="../activeX/activeX57.xml"/><Relationship Id="rId9" Type="http://schemas.openxmlformats.org/officeDocument/2006/relationships/control" Target="../activeX/activeX60.xml"/><Relationship Id="rId14" Type="http://schemas.openxmlformats.org/officeDocument/2006/relationships/image" Target="../media/image61.emf"/></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66.xml"/><Relationship Id="rId13" Type="http://schemas.openxmlformats.org/officeDocument/2006/relationships/image" Target="../media/image67.emf"/><Relationship Id="rId18" Type="http://schemas.openxmlformats.org/officeDocument/2006/relationships/control" Target="../activeX/activeX71.xml"/><Relationship Id="rId3" Type="http://schemas.openxmlformats.org/officeDocument/2006/relationships/vmlDrawing" Target="../drawings/vmlDrawing7.vml"/><Relationship Id="rId21" Type="http://schemas.openxmlformats.org/officeDocument/2006/relationships/image" Target="../media/image71.emf"/><Relationship Id="rId7" Type="http://schemas.openxmlformats.org/officeDocument/2006/relationships/image" Target="../media/image64.emf"/><Relationship Id="rId12" Type="http://schemas.openxmlformats.org/officeDocument/2006/relationships/control" Target="../activeX/activeX68.xml"/><Relationship Id="rId17" Type="http://schemas.openxmlformats.org/officeDocument/2006/relationships/image" Target="../media/image69.emf"/><Relationship Id="rId2" Type="http://schemas.openxmlformats.org/officeDocument/2006/relationships/drawing" Target="../drawings/drawing5.xml"/><Relationship Id="rId16" Type="http://schemas.openxmlformats.org/officeDocument/2006/relationships/control" Target="../activeX/activeX70.xml"/><Relationship Id="rId20" Type="http://schemas.openxmlformats.org/officeDocument/2006/relationships/control" Target="../activeX/activeX72.xml"/><Relationship Id="rId1" Type="http://schemas.openxmlformats.org/officeDocument/2006/relationships/printerSettings" Target="../printerSettings/printerSettings7.bin"/><Relationship Id="rId6" Type="http://schemas.openxmlformats.org/officeDocument/2006/relationships/control" Target="../activeX/activeX65.xml"/><Relationship Id="rId11" Type="http://schemas.openxmlformats.org/officeDocument/2006/relationships/image" Target="../media/image66.emf"/><Relationship Id="rId5" Type="http://schemas.openxmlformats.org/officeDocument/2006/relationships/image" Target="../media/image63.emf"/><Relationship Id="rId15" Type="http://schemas.openxmlformats.org/officeDocument/2006/relationships/image" Target="../media/image68.emf"/><Relationship Id="rId10" Type="http://schemas.openxmlformats.org/officeDocument/2006/relationships/control" Target="../activeX/activeX67.xml"/><Relationship Id="rId19" Type="http://schemas.openxmlformats.org/officeDocument/2006/relationships/image" Target="../media/image70.emf"/><Relationship Id="rId4" Type="http://schemas.openxmlformats.org/officeDocument/2006/relationships/control" Target="../activeX/activeX64.xml"/><Relationship Id="rId9" Type="http://schemas.openxmlformats.org/officeDocument/2006/relationships/image" Target="../media/image65.emf"/><Relationship Id="rId14" Type="http://schemas.openxmlformats.org/officeDocument/2006/relationships/control" Target="../activeX/activeX69.xml"/><Relationship Id="rId22"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W1"/>
  <sheetViews>
    <sheetView workbookViewId="0">
      <selection activeCell="A36" sqref="A36"/>
    </sheetView>
  </sheetViews>
  <sheetFormatPr baseColWidth="10" defaultRowHeight="15" x14ac:dyDescent="0.25"/>
  <sheetData>
    <row r="1" spans="23:23" x14ac:dyDescent="0.25">
      <c r="W1" t="s">
        <v>37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2:AA58"/>
  <sheetViews>
    <sheetView tabSelected="1" zoomScaleNormal="100" workbookViewId="0">
      <selection activeCell="E16" sqref="E16"/>
    </sheetView>
  </sheetViews>
  <sheetFormatPr baseColWidth="10" defaultRowHeight="15" x14ac:dyDescent="0.25"/>
  <cols>
    <col min="1" max="1" width="20.5703125" customWidth="1"/>
    <col min="2" max="2" width="17.7109375" customWidth="1"/>
    <col min="3" max="4" width="18" customWidth="1"/>
    <col min="5" max="5" width="17.85546875" customWidth="1"/>
    <col min="6" max="6" width="21.85546875" customWidth="1"/>
    <col min="7" max="7" width="18" customWidth="1"/>
    <col min="8" max="8" width="19.5703125" customWidth="1"/>
    <col min="9" max="9" width="12.85546875" customWidth="1"/>
    <col min="10" max="10" width="13.42578125" customWidth="1"/>
    <col min="11" max="11" width="9.28515625" customWidth="1"/>
    <col min="13" max="13" width="19" customWidth="1"/>
  </cols>
  <sheetData>
    <row r="2" spans="1:27" x14ac:dyDescent="0.25">
      <c r="B2" s="121"/>
    </row>
    <row r="3" spans="1:27" ht="22.5" customHeight="1" thickBot="1" x14ac:dyDescent="0.3"/>
    <row r="4" spans="1:27" ht="15.75" thickTop="1" x14ac:dyDescent="0.25">
      <c r="A4" s="65" t="s">
        <v>295</v>
      </c>
      <c r="B4" s="66" t="s">
        <v>324</v>
      </c>
      <c r="C4" s="66"/>
      <c r="D4" s="66"/>
      <c r="E4" s="66"/>
      <c r="F4" s="66"/>
      <c r="G4" s="66"/>
      <c r="H4" s="66"/>
      <c r="I4" s="190" t="s">
        <v>250</v>
      </c>
      <c r="J4" s="190"/>
      <c r="K4" s="191"/>
      <c r="Z4" t="s">
        <v>121</v>
      </c>
      <c r="AA4" t="s">
        <v>121</v>
      </c>
    </row>
    <row r="5" spans="1:27" ht="38.25" customHeight="1" thickBot="1" x14ac:dyDescent="0.3">
      <c r="A5" s="123" t="s">
        <v>255</v>
      </c>
      <c r="B5" s="124" t="str">
        <f ca="1">MID(CELL("filnavn",Hogst!$A1),FIND("]",CELL("filnavn",Hogst!$A1))+1,LEN(CELL("filnavn",Hogst!$A1))-FIND("]",CELL("filnavn",Hogst!$A1)))</f>
        <v>Hogst</v>
      </c>
      <c r="C5" s="124" t="str">
        <f ca="1">MID(CELL("filnavn",Bunting!B1),FIND("]",CELL("filnavn",Bunting!B1))+1,LEN(CELL("filnavn",Bunting!B1))-FIND("]",CELL("filnavn",Bunting!B1)))</f>
        <v>Bunting</v>
      </c>
      <c r="D5" s="124" t="str">
        <f ca="1">MID(CELL("filnavn",Terrengtransport!$A$1),FIND("]",CELL("filnavn",Terrengtransport!$A$1))+1,LEN(CELL("filnavn",Terrengtransport!$A$1))-FIND("]",CELL("filnavn",Terrengtransport!$A$1)))</f>
        <v>Terrengtransport</v>
      </c>
      <c r="E5" s="124" t="str">
        <f ca="1">MID(CELL("filnavn",'Flishogging lunneplass'!$A$1),FIND("]",CELL("filnavn",'Flishogging lunneplass'!$A$1))+1,LEN(CELL("filnavn",'Flishogging lunneplass'!$A$1))-FIND("]",CELL("filnavn",'Flishogging lunneplass'!$A$1)))</f>
        <v>Flishogging lunneplass</v>
      </c>
      <c r="F5" s="124" t="str">
        <f ca="1">MID(CELL("filnavn",Vegtrans1!$A$1),FIND("]",CELL("filnavn",Vegtrans1!$A$1))+1,LEN(CELL("filnavn",Vegtrans1!$A$1))-FIND("]",CELL("filnavn",Vegtrans1!$A$1)))</f>
        <v>Vegtrans1</v>
      </c>
      <c r="G5" s="124" t="str">
        <f ca="1">MID(CELL("filnavn",'Flishogging terminal'!$A$1),FIND("]",CELL("filnavn",'Flishogging terminal'!$A$1))+1,LEN(CELL("filnavn",'Flishogging terminal'!$A$1))-FIND("]",CELL("filnavn",'Flishogging terminal'!$A$1)))</f>
        <v>Flishogging terminal</v>
      </c>
      <c r="H5" s="124" t="str">
        <f ca="1">MID(CELL("filnavn",Vegtrans2!$A$1),FIND("]",CELL("filnavn",Vegtrans2!$A$1))+1,LEN(CELL("filnavn",Vegtrans2!$A$1))-FIND("]",CELL("filnavn",Vegtrans2!$A$1)))</f>
        <v>Vegtrans2</v>
      </c>
      <c r="I5" s="124" t="s">
        <v>251</v>
      </c>
      <c r="J5" s="124" t="s">
        <v>252</v>
      </c>
      <c r="K5" s="125" t="s">
        <v>253</v>
      </c>
      <c r="M5" s="55"/>
      <c r="Z5" t="s">
        <v>363</v>
      </c>
      <c r="AA5" t="s">
        <v>248</v>
      </c>
    </row>
    <row r="6" spans="1:27" ht="21" customHeight="1" thickTop="1" x14ac:dyDescent="0.25">
      <c r="A6" s="126" t="s">
        <v>375</v>
      </c>
      <c r="B6" s="127" t="s">
        <v>271</v>
      </c>
      <c r="C6" s="127" t="s">
        <v>196</v>
      </c>
      <c r="D6" s="127" t="s">
        <v>135</v>
      </c>
      <c r="E6" s="128" t="s">
        <v>153</v>
      </c>
      <c r="F6" s="127" t="s">
        <v>201</v>
      </c>
      <c r="G6" s="127" t="s">
        <v>196</v>
      </c>
      <c r="H6" s="127" t="s">
        <v>202</v>
      </c>
      <c r="I6" s="129">
        <v>12</v>
      </c>
      <c r="J6" s="129">
        <v>2</v>
      </c>
      <c r="K6" s="130">
        <v>1</v>
      </c>
      <c r="Z6" t="str">
        <f>IFERROR(HLOOKUP(F6,Vegtrans1!A$1:H$105,2,FALSE),"")</f>
        <v>Flis</v>
      </c>
      <c r="AA6" t="str">
        <f t="shared" ref="AA6:AA9" si="0">IF(Z6="","",IF(Z6="Heltre", "Heltre", IF(Z6="Bunter","Bunter", IF(Z6="Rundvirke","Rundvirke", IF(AND(Z6="Flis",H6&lt;&gt;"Ingen",H6&lt;&gt;0),"Flis_termi","Flis_dir")))))</f>
        <v>Flis_termi</v>
      </c>
    </row>
    <row r="7" spans="1:27" ht="21" customHeight="1" x14ac:dyDescent="0.25">
      <c r="A7" s="131" t="s">
        <v>376</v>
      </c>
      <c r="B7" s="132" t="s">
        <v>269</v>
      </c>
      <c r="C7" s="132" t="s">
        <v>196</v>
      </c>
      <c r="D7" s="132" t="s">
        <v>300</v>
      </c>
      <c r="E7" s="133" t="s">
        <v>196</v>
      </c>
      <c r="F7" s="132" t="s">
        <v>197</v>
      </c>
      <c r="G7" s="132" t="s">
        <v>158</v>
      </c>
      <c r="H7" s="132" t="s">
        <v>202</v>
      </c>
      <c r="I7" s="134">
        <v>12</v>
      </c>
      <c r="J7" s="134">
        <v>2</v>
      </c>
      <c r="K7" s="135">
        <v>1</v>
      </c>
      <c r="Z7" t="str">
        <f>IFERROR(HLOOKUP(F7,Vegtrans1!A$1:H$105,2,FALSE),"")</f>
        <v>Heltre</v>
      </c>
      <c r="AA7" t="str">
        <f t="shared" si="0"/>
        <v>Heltre</v>
      </c>
    </row>
    <row r="8" spans="1:27" ht="21" customHeight="1" x14ac:dyDescent="0.25">
      <c r="A8" s="136" t="s">
        <v>387</v>
      </c>
      <c r="B8" s="137" t="s">
        <v>269</v>
      </c>
      <c r="C8" s="137" t="s">
        <v>196</v>
      </c>
      <c r="D8" s="137" t="s">
        <v>135</v>
      </c>
      <c r="E8" s="138" t="s">
        <v>154</v>
      </c>
      <c r="F8" s="137" t="s">
        <v>201</v>
      </c>
      <c r="G8" s="137" t="s">
        <v>196</v>
      </c>
      <c r="H8" s="137" t="s">
        <v>202</v>
      </c>
      <c r="I8" s="122">
        <v>12</v>
      </c>
      <c r="J8" s="122">
        <v>2</v>
      </c>
      <c r="K8" s="139">
        <v>1</v>
      </c>
      <c r="Z8" t="str">
        <f>IFERROR(HLOOKUP(F8,Vegtrans1!A$1:H$105,2,FALSE),"")</f>
        <v>Flis</v>
      </c>
      <c r="AA8" t="str">
        <f t="shared" si="0"/>
        <v>Flis_termi</v>
      </c>
    </row>
    <row r="9" spans="1:27" ht="21" customHeight="1" x14ac:dyDescent="0.25">
      <c r="A9" s="131" t="s">
        <v>311</v>
      </c>
      <c r="B9" s="132" t="s">
        <v>269</v>
      </c>
      <c r="C9" s="132" t="s">
        <v>196</v>
      </c>
      <c r="D9" s="132" t="s">
        <v>135</v>
      </c>
      <c r="E9" s="133" t="s">
        <v>155</v>
      </c>
      <c r="F9" s="132" t="s">
        <v>202</v>
      </c>
      <c r="G9" s="132" t="s">
        <v>196</v>
      </c>
      <c r="H9" s="132" t="s">
        <v>196</v>
      </c>
      <c r="I9" s="134">
        <v>12</v>
      </c>
      <c r="J9" s="134">
        <v>2</v>
      </c>
      <c r="K9" s="135">
        <v>1</v>
      </c>
      <c r="Z9" t="str">
        <f>IFERROR(HLOOKUP(F9,Vegtrans1!A$1:H$105,2,FALSE),"")</f>
        <v>Flis</v>
      </c>
      <c r="AA9" t="str">
        <f t="shared" si="0"/>
        <v>Flis_dir</v>
      </c>
    </row>
    <row r="10" spans="1:27" ht="21" customHeight="1" x14ac:dyDescent="0.25">
      <c r="A10" s="136"/>
      <c r="B10" s="137" t="s">
        <v>196</v>
      </c>
      <c r="C10" s="137" t="s">
        <v>196</v>
      </c>
      <c r="D10" s="137" t="s">
        <v>196</v>
      </c>
      <c r="E10" s="138" t="s">
        <v>196</v>
      </c>
      <c r="F10" s="137" t="s">
        <v>196</v>
      </c>
      <c r="G10" s="137" t="s">
        <v>196</v>
      </c>
      <c r="H10" s="137" t="s">
        <v>196</v>
      </c>
      <c r="I10" s="122">
        <v>12</v>
      </c>
      <c r="J10" s="122">
        <v>2</v>
      </c>
      <c r="K10" s="139">
        <v>1</v>
      </c>
      <c r="Z10" t="str">
        <f>IFERROR(HLOOKUP(F10,Vegtrans1!A$1:H$105,2,FALSE),"")</f>
        <v/>
      </c>
      <c r="AA10" t="str">
        <f>IF(Z10="","",IF(Z10="Heltre", "Heltre", IF(Z10="Bunter","Bunter", IF(Z10="Rundvirke","Rundvirke", IF(AND(Z10="Flis",H10&lt;&gt;"Ingen",H10&lt;&gt;0),"Flis_termi","Flis_dir")))))</f>
        <v/>
      </c>
    </row>
    <row r="11" spans="1:27" ht="21" customHeight="1" x14ac:dyDescent="0.25">
      <c r="A11" s="131"/>
      <c r="B11" s="132" t="s">
        <v>196</v>
      </c>
      <c r="C11" s="132" t="s">
        <v>196</v>
      </c>
      <c r="D11" s="132" t="s">
        <v>196</v>
      </c>
      <c r="E11" s="133" t="s">
        <v>196</v>
      </c>
      <c r="F11" s="132" t="s">
        <v>196</v>
      </c>
      <c r="G11" s="132" t="s">
        <v>196</v>
      </c>
      <c r="H11" s="132" t="s">
        <v>196</v>
      </c>
      <c r="I11" s="134">
        <v>12</v>
      </c>
      <c r="J11" s="134">
        <v>0</v>
      </c>
      <c r="K11" s="135">
        <v>1</v>
      </c>
      <c r="Z11" t="str">
        <f>IFERROR(HLOOKUP(F11,Vegtrans1!A$1:H$105,2,FALSE),"")</f>
        <v/>
      </c>
      <c r="AA11" t="str">
        <f t="shared" ref="AA11:AA13" si="1">IF(Z11="","",IF(Z11="Heltre", "Heltre", IF(Z11="Bunter","Bunter", IF(Z11="Rundvirke","Rundvirke", IF(AND(Z11="Flis",H11&lt;&gt;"Ingen",H11&lt;&gt;0),"Flis_termi","Flis_dir")))))</f>
        <v/>
      </c>
    </row>
    <row r="12" spans="1:27" ht="21" customHeight="1" x14ac:dyDescent="0.25">
      <c r="A12" s="136"/>
      <c r="B12" s="137" t="s">
        <v>196</v>
      </c>
      <c r="C12" s="137" t="s">
        <v>196</v>
      </c>
      <c r="D12" s="137" t="s">
        <v>196</v>
      </c>
      <c r="E12" s="138" t="s">
        <v>196</v>
      </c>
      <c r="F12" s="137" t="s">
        <v>196</v>
      </c>
      <c r="G12" s="137" t="s">
        <v>196</v>
      </c>
      <c r="H12" s="137" t="s">
        <v>196</v>
      </c>
      <c r="I12" s="122">
        <v>12</v>
      </c>
      <c r="J12" s="122">
        <v>0</v>
      </c>
      <c r="K12" s="139">
        <v>0</v>
      </c>
      <c r="Z12" t="str">
        <f>IFERROR(HLOOKUP(F12,Vegtrans1!A$1:H$105,2,FALSE),"")</f>
        <v/>
      </c>
      <c r="AA12" t="str">
        <f t="shared" si="1"/>
        <v/>
      </c>
    </row>
    <row r="13" spans="1:27" ht="21" customHeight="1" thickBot="1" x14ac:dyDescent="0.3">
      <c r="A13" s="140"/>
      <c r="B13" s="141" t="s">
        <v>196</v>
      </c>
      <c r="C13" s="141" t="s">
        <v>196</v>
      </c>
      <c r="D13" s="141" t="s">
        <v>196</v>
      </c>
      <c r="E13" s="142" t="s">
        <v>196</v>
      </c>
      <c r="F13" s="141" t="s">
        <v>196</v>
      </c>
      <c r="G13" s="141" t="s">
        <v>196</v>
      </c>
      <c r="H13" s="141" t="s">
        <v>196</v>
      </c>
      <c r="I13" s="143">
        <v>12</v>
      </c>
      <c r="J13" s="143">
        <v>0</v>
      </c>
      <c r="K13" s="120">
        <v>0</v>
      </c>
      <c r="Z13" t="str">
        <f>IFERROR(HLOOKUP(F13,Vegtrans1!A$1:H$105,2,FALSE),"")</f>
        <v/>
      </c>
      <c r="AA13" t="str">
        <f t="shared" si="1"/>
        <v/>
      </c>
    </row>
    <row r="14" spans="1:27" ht="21.95" customHeight="1" thickTop="1" x14ac:dyDescent="0.25">
      <c r="E14" s="61"/>
    </row>
    <row r="15" spans="1:27" ht="15.75" thickBot="1" x14ac:dyDescent="0.3"/>
    <row r="16" spans="1:27" ht="15.75" thickTop="1" x14ac:dyDescent="0.25">
      <c r="A16" s="73"/>
      <c r="B16" s="74"/>
      <c r="C16" s="74"/>
      <c r="D16" s="74"/>
      <c r="E16" s="74"/>
      <c r="F16" s="74"/>
      <c r="G16" s="74"/>
      <c r="H16" s="74"/>
      <c r="I16" s="74"/>
      <c r="J16" s="74"/>
      <c r="K16" s="74"/>
      <c r="L16" s="75"/>
      <c r="M16" s="76"/>
    </row>
    <row r="17" spans="1:13" ht="15.75" thickBot="1" x14ac:dyDescent="0.3">
      <c r="A17" s="77"/>
      <c r="B17" s="68"/>
      <c r="C17" s="68"/>
      <c r="D17" s="68"/>
      <c r="E17" s="68"/>
      <c r="F17" s="68"/>
      <c r="G17" s="68"/>
      <c r="H17" s="68"/>
      <c r="I17" s="68"/>
      <c r="J17" s="68"/>
      <c r="K17" s="68"/>
      <c r="L17" s="67"/>
      <c r="M17" s="78"/>
    </row>
    <row r="18" spans="1:13" ht="18.75" thickTop="1" thickBot="1" x14ac:dyDescent="0.3">
      <c r="A18" s="180" t="s">
        <v>388</v>
      </c>
      <c r="K18" s="68"/>
      <c r="L18" s="67"/>
      <c r="M18" s="78"/>
    </row>
    <row r="19" spans="1:13" ht="15.75" thickTop="1" x14ac:dyDescent="0.25">
      <c r="A19" s="179" t="s">
        <v>364</v>
      </c>
      <c r="B19" s="147" t="str">
        <f ca="1">MID(CELL("filnavn",Hogst!$A1),FIND("]",CELL("filnavn",Hogst!$A1))+1,LEN(CELL("filnavn",Hogst!$A1))-FIND("]",CELL("filnavn",Hogst!$A1)))</f>
        <v>Hogst</v>
      </c>
      <c r="C19" s="147" t="str">
        <f ca="1">MID(CELL("filnavn",Bunting!B1),FIND("]",CELL("filnavn",Bunting!B1))+1,LEN(CELL("filnavn",Bunting!B1))-FIND("]",CELL("filnavn",Bunting!B1)))</f>
        <v>Bunting</v>
      </c>
      <c r="D19" s="147" t="str">
        <f ca="1">MID(CELL("filnavn",Terrengtransport!$A$1),FIND("]",CELL("filnavn",Terrengtransport!$A$1))+1,LEN(CELL("filnavn",Terrengtransport!$A$1))-FIND("]",CELL("filnavn",Terrengtransport!$A$1)))</f>
        <v>Terrengtransport</v>
      </c>
      <c r="E19" s="147" t="str">
        <f ca="1">MID(CELL("filnavn",'Flishogging lunneplass'!$A$1),FIND("]",CELL("filnavn",'Flishogging lunneplass'!$A$1))+1,LEN(CELL("filnavn",'Flishogging lunneplass'!$A$1))-FIND("]",CELL("filnavn",'Flishogging lunneplass'!$A$1)))</f>
        <v>Flishogging lunneplass</v>
      </c>
      <c r="F19" s="147" t="str">
        <f ca="1">MID(CELL("filnavn",Vegtrans1!$A$1),FIND("]",CELL("filnavn",Vegtrans1!$A$1))+1,LEN(CELL("filnavn",Vegtrans1!$A$1))-FIND("]",CELL("filnavn",Vegtrans1!$A$1)))</f>
        <v>Vegtrans1</v>
      </c>
      <c r="G19" s="147" t="str">
        <f ca="1">MID(CELL("filnavn",'Flishogging terminal'!$A$1),FIND("]",CELL("filnavn",'Flishogging terminal'!$A$1))+1,LEN(CELL("filnavn",'Flishogging terminal'!$A$1))-FIND("]",CELL("filnavn",'Flishogging terminal'!$A$1)))</f>
        <v>Flishogging terminal</v>
      </c>
      <c r="H19" s="147" t="str">
        <f ca="1">MID(CELL("filnavn",Vegtrans2!$A$1),FIND("]",CELL("filnavn",Vegtrans2!$A$1))+1,LEN(CELL("filnavn",Vegtrans2!$A$1))-FIND("]",CELL("filnavn",Vegtrans2!$A$1)))</f>
        <v>Vegtrans2</v>
      </c>
      <c r="I19" s="147" t="s">
        <v>238</v>
      </c>
      <c r="J19" s="148" t="s">
        <v>249</v>
      </c>
      <c r="K19" s="68"/>
      <c r="L19" s="67"/>
      <c r="M19" s="78"/>
    </row>
    <row r="20" spans="1:13" x14ac:dyDescent="0.25">
      <c r="A20" s="149" t="str">
        <f t="shared" ref="A20:A23" si="2">IF(ISBLANK(A6),"",A6)</f>
        <v>Terrengflishugger</v>
      </c>
      <c r="B20" s="150">
        <f>HLOOKUP(B6,Hogst!A$1:H$106,104,FALSE)</f>
        <v>118.68610563367044</v>
      </c>
      <c r="C20" s="150">
        <f>HLOOKUP(C6,Bunting!A$1:G$128,105,FALSE)</f>
        <v>0</v>
      </c>
      <c r="D20" s="150">
        <f>HLOOKUP(D6,Terrengtransport!A$1:K$130,108,FALSE)</f>
        <v>79.583731822429371</v>
      </c>
      <c r="E20" s="150">
        <f>HLOOKUP(E6,'Flishogging lunneplass'!A$1:I$138,115,FALSE)</f>
        <v>131.14463196167085</v>
      </c>
      <c r="F20" s="150">
        <f>HLOOKUP(F6,Vegtrans1!B$1:K$63,59,FALSE)</f>
        <v>92.02350832806242</v>
      </c>
      <c r="G20" s="150">
        <f>HLOOKUP(G6,'Flishogging terminal'!B$1:K$135,113,FALSE)</f>
        <v>0</v>
      </c>
      <c r="H20" s="150">
        <f>HLOOKUP(H6,Vegtrans2!B$1:D$58,55,FALSE)</f>
        <v>36.128824725236854</v>
      </c>
      <c r="I20" s="150">
        <f>IF(EXACT(AA6,"Heltre"),(I6*'Lager kostnader'!B$26+'Lager kostnader'!B$27+J6*'Lager kostnader'!D$26+'Lager kostnader'!D$27+K6*'Lager kostnader'!F$26+'Lager kostnader'!F$27), IF(EXACT(AA6,"Bunter"),(I6*'Lager kostnader'!C$26+'Lager kostnader'!C$27+J6*'Lager kostnader'!E$26+'Lager kostnader'!E$27+K6*'Lager kostnader'!F$26+'Lager kostnader'!F$27),IF(EXACT(AA6,"Flis_termi"),(I6*'Lager kostnader'!B$26+'Lager kostnader'!B$27+K6*'Lager kostnader'!G$26+'Lager kostnader'!G$27),IF(EXACT(AA6,"Flis_dir"),(I6*'Lager kostnader'!B$26+'Lager kostnader'!B$27),IF(EXACT(AA6,"Rundvirke"),(I6*'Lager kostnader'!B$26+'Lager kostnader'!B$27+J6*'Lager kostnader'!D$26 + 'Lager kostnader'!D$27+K6*'Lager kostnader'!F$26+'Lager kostnader'!F$27),"feil")))))</f>
        <v>16.643808638259273</v>
      </c>
      <c r="J20" s="151">
        <f>SUM(B20:I20)</f>
        <v>474.21061110932914</v>
      </c>
      <c r="K20" s="68"/>
      <c r="L20" s="67"/>
      <c r="M20" s="78"/>
    </row>
    <row r="21" spans="1:13" x14ac:dyDescent="0.25">
      <c r="A21" s="152" t="str">
        <f t="shared" si="2"/>
        <v>Terminalhogger</v>
      </c>
      <c r="B21" s="153">
        <f>HLOOKUP(B7,Hogst!A$1:H$106,104,FALSE)</f>
        <v>137.88012296808418</v>
      </c>
      <c r="C21" s="153">
        <f>HLOOKUP(C7,Bunting!A$1:G$128,105,FALSE)</f>
        <v>0</v>
      </c>
      <c r="D21" s="153">
        <f>HLOOKUP(D7,Terrengtransport!A$1:K$130,108,FALSE)</f>
        <v>82.903897483293946</v>
      </c>
      <c r="E21" s="153">
        <f>HLOOKUP(E7,'Flishogging lunneplass'!A$1:I$138,115,FALSE)</f>
        <v>0</v>
      </c>
      <c r="F21" s="153">
        <f>HLOOKUP(F7,Vegtrans1!B$1:K$63,59,FALSE)</f>
        <v>172.91548614666894</v>
      </c>
      <c r="G21" s="153">
        <f>HLOOKUP(G7,'Flishogging terminal'!B$1:K$135,113,FALSE)</f>
        <v>49.115076783383266</v>
      </c>
      <c r="H21" s="153">
        <f>HLOOKUP(H7,Vegtrans2!B$1:D$58,55,FALSE)</f>
        <v>36.128824725236854</v>
      </c>
      <c r="I21" s="153">
        <f>IF(EXACT(AA7,"Heltre"),(I7*'Lager kostnader'!B$26+'Lager kostnader'!B$27+J7*'Lager kostnader'!D$26+'Lager kostnader'!D$27+K7*'Lager kostnader'!F$26+'Lager kostnader'!F$27), IF(EXACT(AA7,"Bunter"),(I7*'Lager kostnader'!C$26+'Lager kostnader'!C$27+J7*'Lager kostnader'!E$26+'Lager kostnader'!E$27+K7*'Lager kostnader'!F$26+'Lager kostnader'!F$27),IF(EXACT(AA7,"Flis_termi"),(I7*'Lager kostnader'!B$26+'Lager kostnader'!B$27+K7*'Lager kostnader'!G$26+'Lager kostnader'!G$27),IF(EXACT(AA7,"Flis_dir"),(I7*'Lager kostnader'!B$26+'Lager kostnader'!B$27),IF(EXACT(AA7,"Rundvirke"),(I7*'Lager kostnader'!B$26+'Lager kostnader'!B$27+J7*'Lager kostnader'!D$26 + 'Lager kostnader'!D$27+K7*'Lager kostnader'!F$26+'Lager kostnader'!F$27),"feil")))))</f>
        <v>24.820066577482013</v>
      </c>
      <c r="J21" s="154">
        <f t="shared" ref="J21:J27" si="3">SUM(B21:I21)</f>
        <v>503.76347468414912</v>
      </c>
      <c r="K21" s="68"/>
      <c r="L21" s="67"/>
      <c r="M21" s="78"/>
    </row>
    <row r="22" spans="1:13" x14ac:dyDescent="0.25">
      <c r="A22" s="149" t="str">
        <f t="shared" si="2"/>
        <v>Flis fra vegkant 1</v>
      </c>
      <c r="B22" s="150">
        <f>HLOOKUP(B8,Hogst!A$1:H$106,104,FALSE)</f>
        <v>137.88012296808418</v>
      </c>
      <c r="C22" s="150">
        <f>HLOOKUP(C8,Bunting!A$1:G$128,105,FALSE)</f>
        <v>0</v>
      </c>
      <c r="D22" s="150">
        <f>HLOOKUP(D8,Terrengtransport!A$1:K$130,108,FALSE)</f>
        <v>79.583731822429371</v>
      </c>
      <c r="E22" s="150">
        <f>HLOOKUP(E8,'Flishogging lunneplass'!A$1:I$138,115,FALSE)</f>
        <v>76.546320689192399</v>
      </c>
      <c r="F22" s="150">
        <f>HLOOKUP(F8,Vegtrans1!B$1:K$63,59,FALSE)</f>
        <v>92.02350832806242</v>
      </c>
      <c r="G22" s="150">
        <f>HLOOKUP(G8,'Flishogging terminal'!B$1:K$135,113,FALSE)</f>
        <v>0</v>
      </c>
      <c r="H22" s="150">
        <f>HLOOKUP(H8,Vegtrans2!B$1:D$58,55,FALSE)</f>
        <v>36.128824725236854</v>
      </c>
      <c r="I22" s="150">
        <f>IF(EXACT(AA8,"Heltre"),(I8*'Lager kostnader'!B$26+'Lager kostnader'!B$27+J8*'Lager kostnader'!D$26+'Lager kostnader'!D$27+K8*'Lager kostnader'!F$26+'Lager kostnader'!F$27), IF(EXACT(AA8,"Bunter"),(I8*'Lager kostnader'!C$26+'Lager kostnader'!C$27+J8*'Lager kostnader'!E$26+'Lager kostnader'!E$27+K8*'Lager kostnader'!F$26+'Lager kostnader'!F$27),IF(EXACT(AA8,"Flis_termi"),(I8*'Lager kostnader'!B$26+'Lager kostnader'!B$27+K8*'Lager kostnader'!G$26+'Lager kostnader'!G$27),IF(EXACT(AA8,"Flis_dir"),(I8*'Lager kostnader'!B$26+'Lager kostnader'!B$27),IF(EXACT(AA8,"Rundvirke"),(I8*'Lager kostnader'!B$26+'Lager kostnader'!B$27+J8*'Lager kostnader'!D$26 + 'Lager kostnader'!D$27+K8*'Lager kostnader'!F$26+'Lager kostnader'!F$27),"feil")))))</f>
        <v>16.643808638259273</v>
      </c>
      <c r="J22" s="151">
        <f t="shared" si="3"/>
        <v>438.80631717126442</v>
      </c>
      <c r="K22" s="68"/>
      <c r="L22" s="67"/>
      <c r="M22" s="78"/>
    </row>
    <row r="23" spans="1:13" x14ac:dyDescent="0.25">
      <c r="A23" s="152" t="str">
        <f t="shared" si="2"/>
        <v>Flis fra vegkant 2</v>
      </c>
      <c r="B23" s="153">
        <f>HLOOKUP(B9,Hogst!A$1:H$106,104,FALSE)</f>
        <v>137.88012296808418</v>
      </c>
      <c r="C23" s="153">
        <f>HLOOKUP(C9,Bunting!A$1:G$128,105,FALSE)</f>
        <v>0</v>
      </c>
      <c r="D23" s="153">
        <f>HLOOKUP(D9,Terrengtransport!A$1:K$130,108,FALSE)</f>
        <v>79.583731822429371</v>
      </c>
      <c r="E23" s="153">
        <f>HLOOKUP(E9,'Flishogging lunneplass'!A$1:I$138,115,FALSE)</f>
        <v>102.28317907902284</v>
      </c>
      <c r="F23" s="153">
        <f>HLOOKUP(F9,Vegtrans1!B$1:K$63,59,FALSE)</f>
        <v>94.635331812751176</v>
      </c>
      <c r="G23" s="153">
        <f>HLOOKUP(G9,'Flishogging terminal'!B$1:K$135,113,FALSE)</f>
        <v>0</v>
      </c>
      <c r="H23" s="153">
        <f>HLOOKUP(H9,Vegtrans2!B$1:D$58,55,FALSE)</f>
        <v>0</v>
      </c>
      <c r="I23" s="153">
        <f>IF(EXACT(AA9,"Heltre"),(I9*'Lager kostnader'!B$26+'Lager kostnader'!B$27+J9*'Lager kostnader'!D$26+'Lager kostnader'!D$27+K9*'Lager kostnader'!F$26+'Lager kostnader'!F$27), IF(EXACT(AA9,"Bunter"),(I9*'Lager kostnader'!C$26+'Lager kostnader'!C$27+J9*'Lager kostnader'!E$26+'Lager kostnader'!E$27+K9*'Lager kostnader'!F$26+'Lager kostnader'!F$27),IF(EXACT(AA9,"Flis_termi"),(I9*'Lager kostnader'!B$26+'Lager kostnader'!B$27+K9*'Lager kostnader'!G$26+'Lager kostnader'!G$27),IF(EXACT(AA9,"Flis_dir"),(I9*'Lager kostnader'!B$26+'Lager kostnader'!B$27),IF(EXACT(AA9,"Rundvirke"),(I9*'Lager kostnader'!B$26+'Lager kostnader'!B$27+J9*'Lager kostnader'!D$26 + 'Lager kostnader'!D$27+K9*'Lager kostnader'!F$26+'Lager kostnader'!F$27),"feil")))))</f>
        <v>7.2383840323698703</v>
      </c>
      <c r="J23" s="154">
        <f t="shared" si="3"/>
        <v>421.62074971465745</v>
      </c>
      <c r="K23" s="68"/>
      <c r="L23" s="67"/>
      <c r="M23" s="78"/>
    </row>
    <row r="24" spans="1:13" x14ac:dyDescent="0.25">
      <c r="A24" s="149" t="str">
        <f>IF(ISBLANK(A10),"",A10)</f>
        <v/>
      </c>
      <c r="B24" s="150">
        <f>HLOOKUP(B10,Hogst!A$1:H$106,104,FALSE)</f>
        <v>0</v>
      </c>
      <c r="C24" s="150">
        <f>HLOOKUP(C10,Bunting!A$1:G$128,105,FALSE)</f>
        <v>0</v>
      </c>
      <c r="D24" s="150">
        <f>HLOOKUP(D10,Terrengtransport!A$1:K$130,108,FALSE)</f>
        <v>0</v>
      </c>
      <c r="E24" s="150">
        <f>HLOOKUP(E10,'Flishogging lunneplass'!A$1:I$138,115,FALSE)</f>
        <v>0</v>
      </c>
      <c r="F24" s="150">
        <f>HLOOKUP(F10,Vegtrans1!B$1:K$63,59,FALSE)</f>
        <v>0</v>
      </c>
      <c r="G24" s="150">
        <f>HLOOKUP(G10,'Flishogging terminal'!B$1:K$135,113,FALSE)</f>
        <v>0</v>
      </c>
      <c r="H24" s="150">
        <f>HLOOKUP(H10,Vegtrans2!B$1:D$58,55,FALSE)</f>
        <v>0</v>
      </c>
      <c r="I24" s="150">
        <f>IF(AA10="",0, IF(EXACT(AA10,"Heltre"),(I10*'Lager kostnader'!B$26+'Lager kostnader'!B$27+J10*'Lager kostnader'!D$26+'Lager kostnader'!D$27+K10*'Lager kostnader'!F$26+'Lager kostnader'!F$27), IF(EXACT(AA10,"Bunter"),(I10*'Lager kostnader'!C$26+'Lager kostnader'!C$27+J10*'Lager kostnader'!E$26+'Lager kostnader'!E$27+K10*'Lager kostnader'!F$26+'Lager kostnader'!F$27),IF(EXACT(AA10,"Flis_termi"),(I10*'Lager kostnader'!B$26+'Lager kostnader'!B$27+K10*'Lager kostnader'!G$26+'Lager kostnader'!G$27),IF(EXACT(AA10,"Flis_dir"),(I10*'Lager kostnader'!B$26+'Lager kostnader'!B$27),IF(EXACT(AA10,"Rundvirke"),(I10*'Lager kostnader'!B$26+'Lager kostnader'!B$27+J10*'Lager kostnader'!D$26 + 'Lager kostnader'!D$27+K10*'Lager kostnader'!F$26+'Lager kostnader'!F$27),"feil"))))))</f>
        <v>0</v>
      </c>
      <c r="J24" s="151">
        <f t="shared" si="3"/>
        <v>0</v>
      </c>
      <c r="K24" s="68"/>
      <c r="L24" s="67"/>
      <c r="M24" s="78"/>
    </row>
    <row r="25" spans="1:13" x14ac:dyDescent="0.25">
      <c r="A25" s="152" t="str">
        <f t="shared" ref="A25:A27" si="4">IF(ISBLANK(A11),"",A11)</f>
        <v/>
      </c>
      <c r="B25" s="153">
        <f>HLOOKUP(B11,Hogst!A$1:H$106,104,FALSE)</f>
        <v>0</v>
      </c>
      <c r="C25" s="153">
        <f>HLOOKUP(C11,Bunting!A$1:G$128,105,FALSE)</f>
        <v>0</v>
      </c>
      <c r="D25" s="153">
        <f>HLOOKUP(D11,Terrengtransport!A$1:K$130,108,FALSE)</f>
        <v>0</v>
      </c>
      <c r="E25" s="153">
        <f>HLOOKUP(E11,'Flishogging lunneplass'!A$1:I$138,115,FALSE)</f>
        <v>0</v>
      </c>
      <c r="F25" s="153">
        <f>HLOOKUP(F11,Vegtrans1!B$1:K$63,59,FALSE)</f>
        <v>0</v>
      </c>
      <c r="G25" s="153">
        <f>HLOOKUP(G11,'Flishogging terminal'!B$1:K$135,113,FALSE)</f>
        <v>0</v>
      </c>
      <c r="H25" s="153">
        <f>HLOOKUP(H11,Vegtrans2!B$1:D$58,55,FALSE)</f>
        <v>0</v>
      </c>
      <c r="I25" s="153">
        <f>IF(AA11="",0, IF(EXACT(AA11,"Heltre"),(I11*'Lager kostnader'!B$26+'Lager kostnader'!B$27+J11*'Lager kostnader'!D$26+'Lager kostnader'!D$27+K11*'Lager kostnader'!F$26+'Lager kostnader'!F$27), IF(EXACT(AA11,"Bunter"),(I11*'Lager kostnader'!C$26+'Lager kostnader'!C$27+J11*'Lager kostnader'!E$26+'Lager kostnader'!E$27+K11*'Lager kostnader'!F$26+'Lager kostnader'!F$27),IF(EXACT(AA11,"Flis_termi"),(I11*'Lager kostnader'!B$26+'Lager kostnader'!B$27+K11*'Lager kostnader'!G$26+'Lager kostnader'!G$27),IF(EXACT(AA11,"Flis_dir"),(I11*'Lager kostnader'!B$26+'Lager kostnader'!B$27),IF(EXACT(AA11,"Rundvirke"),(I11*'Lager kostnader'!B$26+'Lager kostnader'!B$27+J11*'Lager kostnader'!D$26 + 'Lager kostnader'!D$27+K11*'Lager kostnader'!F$26+'Lager kostnader'!F$27),"feil"))))))</f>
        <v>0</v>
      </c>
      <c r="J25" s="154">
        <f t="shared" si="3"/>
        <v>0</v>
      </c>
      <c r="K25" s="68"/>
      <c r="L25" s="67"/>
      <c r="M25" s="78"/>
    </row>
    <row r="26" spans="1:13" x14ac:dyDescent="0.25">
      <c r="A26" s="149" t="str">
        <f t="shared" si="4"/>
        <v/>
      </c>
      <c r="B26" s="150">
        <f>HLOOKUP(B12,Hogst!A$1:H$106,104,FALSE)</f>
        <v>0</v>
      </c>
      <c r="C26" s="150">
        <f>HLOOKUP(C12,Bunting!A$1:G$128,105,FALSE)</f>
        <v>0</v>
      </c>
      <c r="D26" s="150">
        <f>HLOOKUP(D12,Terrengtransport!A$1:K$130,108,FALSE)</f>
        <v>0</v>
      </c>
      <c r="E26" s="150">
        <f>HLOOKUP(E12,'Flishogging lunneplass'!A$1:I$138,115,FALSE)</f>
        <v>0</v>
      </c>
      <c r="F26" s="150">
        <f>HLOOKUP(F12,Vegtrans1!B$1:K$63,59,FALSE)</f>
        <v>0</v>
      </c>
      <c r="G26" s="150">
        <f>HLOOKUP(G12,'Flishogging terminal'!B$1:K$135,113,FALSE)</f>
        <v>0</v>
      </c>
      <c r="H26" s="150">
        <f>HLOOKUP(H12,Vegtrans2!B$1:D$58,55,FALSE)</f>
        <v>0</v>
      </c>
      <c r="I26" s="150">
        <f>IF(AA12="",0, IF(EXACT(AA12,"Heltre"),(I12*'Lager kostnader'!B$26+'Lager kostnader'!B$27+J12*'Lager kostnader'!D$26+'Lager kostnader'!D$27+K12*'Lager kostnader'!F$26+'Lager kostnader'!F$27), IF(EXACT(AA12,"Bunter"),(I12*'Lager kostnader'!C$26+'Lager kostnader'!C$27+J12*'Lager kostnader'!E$26+'Lager kostnader'!E$27+K12*'Lager kostnader'!F$26+'Lager kostnader'!F$27),IF(EXACT(AA12,"Flis_termi"),(I12*'Lager kostnader'!B$26+'Lager kostnader'!B$27+K12*'Lager kostnader'!G$26+'Lager kostnader'!G$27),IF(EXACT(AA12,"Flis_dir"),(I12*'Lager kostnader'!B$26+'Lager kostnader'!B$27),IF(EXACT(AA12,"Rundvirke"),(I12*'Lager kostnader'!B$26+'Lager kostnader'!B$27+J12*'Lager kostnader'!D$26 + 'Lager kostnader'!D$27+K12*'Lager kostnader'!F$26+'Lager kostnader'!F$27),"feil"))))))</f>
        <v>0</v>
      </c>
      <c r="J26" s="151">
        <f t="shared" si="3"/>
        <v>0</v>
      </c>
      <c r="K26" s="68"/>
      <c r="L26" s="67"/>
      <c r="M26" s="78"/>
    </row>
    <row r="27" spans="1:13" ht="15.75" thickBot="1" x14ac:dyDescent="0.3">
      <c r="A27" s="155" t="str">
        <f t="shared" si="4"/>
        <v/>
      </c>
      <c r="B27" s="156">
        <f>HLOOKUP(B13,Hogst!A$1:H$106,104,FALSE)</f>
        <v>0</v>
      </c>
      <c r="C27" s="156">
        <f>HLOOKUP(C13,Bunting!A$1:G$128,105,FALSE)</f>
        <v>0</v>
      </c>
      <c r="D27" s="156">
        <f>HLOOKUP(D13,Terrengtransport!A$1:K$130,108,FALSE)</f>
        <v>0</v>
      </c>
      <c r="E27" s="156">
        <f>HLOOKUP(E13,'Flishogging lunneplass'!A$1:I$138,115,FALSE)</f>
        <v>0</v>
      </c>
      <c r="F27" s="156">
        <f>HLOOKUP(F13,Vegtrans1!B$1:K$63,59,FALSE)</f>
        <v>0</v>
      </c>
      <c r="G27" s="156">
        <f>HLOOKUP(G13,'Flishogging terminal'!B$1:K$135,113,FALSE)</f>
        <v>0</v>
      </c>
      <c r="H27" s="156">
        <f>HLOOKUP(H13,Vegtrans2!B$1:D$58,55,FALSE)</f>
        <v>0</v>
      </c>
      <c r="I27" s="156">
        <f>IF(AA13="",0, IF(EXACT(AA13,"Heltre"),(I13*'Lager kostnader'!B$26+'Lager kostnader'!B$27+J13*'Lager kostnader'!D$26+'Lager kostnader'!D$27+K13*'Lager kostnader'!F$26+'Lager kostnader'!F$27), IF(EXACT(AA13,"Bunter"),(I13*'Lager kostnader'!C$26+'Lager kostnader'!C$27+J13*'Lager kostnader'!E$26+'Lager kostnader'!E$27+K13*'Lager kostnader'!F$26+'Lager kostnader'!F$27),IF(EXACT(AA13,"Flis_termi"),(I13*'Lager kostnader'!B$26+'Lager kostnader'!B$27+K13*'Lager kostnader'!G$26+'Lager kostnader'!G$27),IF(EXACT(AA13,"Flis_dir"),(I13*'Lager kostnader'!B$26+'Lager kostnader'!B$27),IF(EXACT(AA13,"Rundvirke"),(I13*'Lager kostnader'!B$26+'Lager kostnader'!B$27+J13*'Lager kostnader'!D$26 + 'Lager kostnader'!D$27+K13*'Lager kostnader'!F$26+'Lager kostnader'!F$27),"feil"))))))</f>
        <v>0</v>
      </c>
      <c r="J27" s="157">
        <f t="shared" si="3"/>
        <v>0</v>
      </c>
      <c r="K27" s="68"/>
      <c r="L27" s="67"/>
      <c r="M27" s="78"/>
    </row>
    <row r="28" spans="1:13" ht="15.75" thickTop="1" x14ac:dyDescent="0.25">
      <c r="A28" s="77"/>
      <c r="B28" s="68"/>
      <c r="C28" s="68"/>
      <c r="D28" s="68"/>
      <c r="E28" s="68"/>
      <c r="F28" s="68"/>
      <c r="G28" s="68"/>
      <c r="H28" s="68"/>
      <c r="I28" s="68"/>
      <c r="J28" s="68"/>
      <c r="K28" s="68"/>
      <c r="L28" s="67"/>
      <c r="M28" s="78"/>
    </row>
    <row r="29" spans="1:13" ht="15.75" thickBot="1" x14ac:dyDescent="0.3">
      <c r="A29" s="77"/>
      <c r="B29" s="68"/>
      <c r="C29" s="68"/>
      <c r="D29" s="68"/>
      <c r="E29" s="68"/>
      <c r="F29" s="68"/>
      <c r="G29" s="68"/>
      <c r="H29" s="68"/>
      <c r="I29" s="68"/>
      <c r="J29" s="68"/>
      <c r="K29" s="68"/>
      <c r="L29" s="67"/>
      <c r="M29" s="78"/>
    </row>
    <row r="30" spans="1:13" ht="18.75" thickTop="1" thickBot="1" x14ac:dyDescent="0.3">
      <c r="A30" s="172" t="s">
        <v>361</v>
      </c>
      <c r="B30" s="68"/>
      <c r="C30" s="68"/>
      <c r="D30" s="68"/>
      <c r="E30" s="68"/>
      <c r="F30" s="68"/>
      <c r="G30" s="68"/>
      <c r="H30" s="68"/>
      <c r="I30" s="68"/>
      <c r="J30" s="68"/>
      <c r="K30" s="68"/>
      <c r="L30" s="67"/>
      <c r="M30" s="78"/>
    </row>
    <row r="31" spans="1:13" ht="15.75" thickTop="1" x14ac:dyDescent="0.25">
      <c r="A31" s="178" t="s">
        <v>364</v>
      </c>
      <c r="B31" s="147" t="str">
        <f ca="1">MID(CELL("filnavn",Hogst!$A1),FIND("]",CELL("filnavn",Hogst!$A1))+1,LEN(CELL("filnavn",Hogst!$A1))-FIND("]",CELL("filnavn",Hogst!$A1)))</f>
        <v>Hogst</v>
      </c>
      <c r="C31" s="147" t="str">
        <f ca="1">MID(CELL("filnavn",Bunting!B1),FIND("]",CELL("filnavn",Bunting!B1))+1,LEN(CELL("filnavn",Bunting!B1))-FIND("]",CELL("filnavn",Bunting!B1)))</f>
        <v>Bunting</v>
      </c>
      <c r="D31" s="147" t="str">
        <f ca="1">MID(CELL("filnavn",Terrengtransport!$A$1),FIND("]",CELL("filnavn",Terrengtransport!$A$1))+1,LEN(CELL("filnavn",Terrengtransport!$A$1))-FIND("]",CELL("filnavn",Terrengtransport!$A$1)))</f>
        <v>Terrengtransport</v>
      </c>
      <c r="E31" s="147" t="str">
        <f ca="1">MID(CELL("filnavn",'Flishogging lunneplass'!$A$1),FIND("]",CELL("filnavn",'Flishogging lunneplass'!$A$1))+1,LEN(CELL("filnavn",'Flishogging lunneplass'!$A$1))-FIND("]",CELL("filnavn",'Flishogging lunneplass'!$A$1)))</f>
        <v>Flishogging lunneplass</v>
      </c>
      <c r="F31" s="147" t="str">
        <f ca="1">MID(CELL("filnavn",Vegtrans1!$A$1),FIND("]",CELL("filnavn",Vegtrans1!$A$1))+1,LEN(CELL("filnavn",Vegtrans1!$A$1))-FIND("]",CELL("filnavn",Vegtrans1!$A$1)))</f>
        <v>Vegtrans1</v>
      </c>
      <c r="G31" s="147" t="str">
        <f ca="1">MID(CELL("filnavn",'Flishogging terminal'!$A$1),FIND("]",CELL("filnavn",'Flishogging terminal'!$A$1))+1,LEN(CELL("filnavn",'Flishogging terminal'!$A$1))-FIND("]",CELL("filnavn",'Flishogging terminal'!$A$1)))</f>
        <v>Flishogging terminal</v>
      </c>
      <c r="H31" s="173" t="str">
        <f ca="1">MID(CELL("filnavn",Vegtrans2!$A$1),FIND("]",CELL("filnavn",Vegtrans2!$A$1))+1,LEN(CELL("filnavn",Vegtrans2!$A$1))-FIND("]",CELL("filnavn",Vegtrans2!$A$1)))</f>
        <v>Vegtrans2</v>
      </c>
      <c r="I31" s="69"/>
      <c r="J31" s="70"/>
      <c r="K31" s="68"/>
      <c r="L31" s="67"/>
      <c r="M31" s="78"/>
    </row>
    <row r="32" spans="1:13" x14ac:dyDescent="0.25">
      <c r="A32" s="149" t="str">
        <f t="shared" ref="A32:A39" si="5">A20</f>
        <v>Terrengflishugger</v>
      </c>
      <c r="B32" s="158">
        <f>HLOOKUP(B6,Hogst!A$1:H$104,62,FALSE)</f>
        <v>14132.51226993865</v>
      </c>
      <c r="C32" s="158">
        <f>HLOOKUP(C6,Bunting!A$1:G$123,63,FALSE)</f>
        <v>0</v>
      </c>
      <c r="D32" s="158">
        <f>HLOOKUP(D6,Terrengtransport!A$1:K$125,68,FALSE)</f>
        <v>21239.635194470498</v>
      </c>
      <c r="E32" s="158">
        <f>HLOOKUP(E6,'Flishogging lunneplass'!A$1:I$133,73,FALSE)</f>
        <v>12238.795521489765</v>
      </c>
      <c r="F32" s="158">
        <f>HLOOKUP(F6,Vegtrans1!B$1:K$63,44,FALSE)</f>
        <v>13259.876017989549</v>
      </c>
      <c r="G32" s="158">
        <f>HLOOKUP(G6,'Flishogging terminal'!B$1:K$131,71,FALSE)</f>
        <v>0</v>
      </c>
      <c r="H32" s="174">
        <f>HLOOKUP(H6,Vegtrans2!B$1:D$58,42,FALSE)</f>
        <v>30276.15423259568</v>
      </c>
      <c r="I32" s="71"/>
      <c r="J32" s="72"/>
      <c r="K32" s="68"/>
      <c r="L32" s="67"/>
      <c r="M32" s="78"/>
    </row>
    <row r="33" spans="1:13" x14ac:dyDescent="0.25">
      <c r="A33" s="152" t="str">
        <f t="shared" si="5"/>
        <v>Terminalhogger</v>
      </c>
      <c r="B33" s="159">
        <f>HLOOKUP(B7,Hogst!A$1:H$104,62,FALSE)</f>
        <v>10247.385175799811</v>
      </c>
      <c r="C33" s="159">
        <f>HLOOKUP(C7,Bunting!A$1:G$123,63,FALSE)</f>
        <v>0</v>
      </c>
      <c r="D33" s="159">
        <f>HLOOKUP(D7,Terrengtransport!A$1:K$125,68,FALSE)</f>
        <v>18628.628256224638</v>
      </c>
      <c r="E33" s="159">
        <f>HLOOKUP(E7,'Flishogging lunneplass'!A$1:I$133,73,FALSE)</f>
        <v>0</v>
      </c>
      <c r="F33" s="159">
        <f>HLOOKUP(F7,Vegtrans1!B$1:K$63,44,FALSE)</f>
        <v>6675.1775001375963</v>
      </c>
      <c r="G33" s="159">
        <f>HLOOKUP(G7,'Flishogging terminal'!B$1:K$131,71,FALSE)</f>
        <v>22106.823093547395</v>
      </c>
      <c r="H33" s="175">
        <f>HLOOKUP(H7,Vegtrans2!B$1:D$58,42,FALSE)</f>
        <v>30276.15423259568</v>
      </c>
      <c r="I33" s="71"/>
      <c r="J33" s="72"/>
      <c r="K33" s="68"/>
      <c r="L33" s="67"/>
      <c r="M33" s="78"/>
    </row>
    <row r="34" spans="1:13" x14ac:dyDescent="0.25">
      <c r="A34" s="149" t="str">
        <f t="shared" si="5"/>
        <v>Flis fra vegkant 1</v>
      </c>
      <c r="B34" s="158">
        <f>HLOOKUP(B8,Hogst!A$1:H$104,62,FALSE)</f>
        <v>10247.385175799811</v>
      </c>
      <c r="C34" s="158">
        <f>HLOOKUP(C8,Bunting!A$1:G$123,63,FALSE)</f>
        <v>0</v>
      </c>
      <c r="D34" s="158">
        <f>HLOOKUP(D8,Terrengtransport!A$1:K$125,68,FALSE)</f>
        <v>21239.635194470498</v>
      </c>
      <c r="E34" s="158">
        <f>HLOOKUP(E8,'Flishogging lunneplass'!A$1:I$133,73,FALSE)</f>
        <v>16307.091334325545</v>
      </c>
      <c r="F34" s="158">
        <f>HLOOKUP(F8,Vegtrans1!B$1:K$63,44,FALSE)</f>
        <v>13259.876017989549</v>
      </c>
      <c r="G34" s="158">
        <f>HLOOKUP(G8,'Flishogging terminal'!B$1:K$131,71,FALSE)</f>
        <v>0</v>
      </c>
      <c r="H34" s="174">
        <f>HLOOKUP(H8,Vegtrans2!B$1:D$58,42,FALSE)</f>
        <v>30276.15423259568</v>
      </c>
      <c r="I34" s="71"/>
      <c r="J34" s="72"/>
      <c r="K34" s="68"/>
      <c r="L34" s="67"/>
      <c r="M34" s="78"/>
    </row>
    <row r="35" spans="1:13" x14ac:dyDescent="0.25">
      <c r="A35" s="152" t="str">
        <f t="shared" si="5"/>
        <v>Flis fra vegkant 2</v>
      </c>
      <c r="B35" s="159">
        <f>HLOOKUP(B9,Hogst!A$1:H$104,62,FALSE)</f>
        <v>10247.385175799811</v>
      </c>
      <c r="C35" s="159">
        <f>HLOOKUP(C9,Bunting!A$1:G$123,63,FALSE)</f>
        <v>0</v>
      </c>
      <c r="D35" s="159">
        <f>HLOOKUP(D9,Terrengtransport!A$1:K$125,68,FALSE)</f>
        <v>21239.635194470498</v>
      </c>
      <c r="E35" s="159">
        <f>HLOOKUP(E9,'Flishogging lunneplass'!A$1:I$133,73,FALSE)</f>
        <v>8715.5263180512284</v>
      </c>
      <c r="F35" s="159">
        <f>HLOOKUP(F9,Vegtrans1!B$1:K$63,44,FALSE)</f>
        <v>12894.172806430006</v>
      </c>
      <c r="G35" s="159">
        <f>HLOOKUP(G9,'Flishogging terminal'!B$1:K$131,71,FALSE)</f>
        <v>0</v>
      </c>
      <c r="H35" s="175">
        <f>HLOOKUP(H9,Vegtrans2!B$1:D$58,42,FALSE)</f>
        <v>0</v>
      </c>
      <c r="I35" s="71"/>
      <c r="J35" s="72"/>
      <c r="K35" s="68"/>
      <c r="L35" s="67"/>
      <c r="M35" s="78"/>
    </row>
    <row r="36" spans="1:13" x14ac:dyDescent="0.25">
      <c r="A36" s="149" t="str">
        <f t="shared" si="5"/>
        <v/>
      </c>
      <c r="B36" s="158">
        <f>HLOOKUP(B10,Hogst!A$1:H$104,62,FALSE)</f>
        <v>0</v>
      </c>
      <c r="C36" s="158">
        <f>HLOOKUP(C10,Bunting!A$1:G$123,63,FALSE)</f>
        <v>0</v>
      </c>
      <c r="D36" s="158">
        <f>HLOOKUP(D10,Terrengtransport!A$1:K$125,68,FALSE)</f>
        <v>0</v>
      </c>
      <c r="E36" s="158">
        <f>HLOOKUP(E10,'Flishogging lunneplass'!A$1:I$133,73,FALSE)</f>
        <v>0</v>
      </c>
      <c r="F36" s="158">
        <f>HLOOKUP(F10,Vegtrans1!B$1:K$63,44,FALSE)</f>
        <v>0</v>
      </c>
      <c r="G36" s="158">
        <f>HLOOKUP(G10,'Flishogging terminal'!B$1:K$131,71,FALSE)</f>
        <v>0</v>
      </c>
      <c r="H36" s="174">
        <f>HLOOKUP(H10,Vegtrans2!B$1:D$58,42,FALSE)</f>
        <v>0</v>
      </c>
      <c r="I36" s="71"/>
      <c r="J36" s="72"/>
      <c r="K36" s="68"/>
      <c r="L36" s="67"/>
      <c r="M36" s="78"/>
    </row>
    <row r="37" spans="1:13" x14ac:dyDescent="0.25">
      <c r="A37" s="152" t="str">
        <f t="shared" si="5"/>
        <v/>
      </c>
      <c r="B37" s="159">
        <f>HLOOKUP(B11,Hogst!A$1:H$104,62,FALSE)</f>
        <v>0</v>
      </c>
      <c r="C37" s="159">
        <f>HLOOKUP(C11,Bunting!A$1:G$123,63,FALSE)</f>
        <v>0</v>
      </c>
      <c r="D37" s="159">
        <f>HLOOKUP(D11,Terrengtransport!A$1:K$125,68,FALSE)</f>
        <v>0</v>
      </c>
      <c r="E37" s="159">
        <f>HLOOKUP(E11,'Flishogging lunneplass'!A$1:I$133,73,FALSE)</f>
        <v>0</v>
      </c>
      <c r="F37" s="159">
        <f>HLOOKUP(F11,Vegtrans1!B$1:K$63,44,FALSE)</f>
        <v>0</v>
      </c>
      <c r="G37" s="159">
        <f>HLOOKUP(G11,'Flishogging terminal'!B$1:K$131,71,FALSE)</f>
        <v>0</v>
      </c>
      <c r="H37" s="175">
        <f>HLOOKUP(H11,Vegtrans2!B$1:D$58,42,FALSE)</f>
        <v>0</v>
      </c>
      <c r="I37" s="71"/>
      <c r="J37" s="72"/>
      <c r="K37" s="68"/>
      <c r="L37" s="67"/>
      <c r="M37" s="78"/>
    </row>
    <row r="38" spans="1:13" x14ac:dyDescent="0.25">
      <c r="A38" s="149" t="str">
        <f t="shared" si="5"/>
        <v/>
      </c>
      <c r="B38" s="158">
        <f>HLOOKUP(B12,Hogst!A$1:H$104,62,FALSE)</f>
        <v>0</v>
      </c>
      <c r="C38" s="158">
        <f>HLOOKUP(C12,Bunting!A$1:G$123,63,FALSE)</f>
        <v>0</v>
      </c>
      <c r="D38" s="158">
        <f>HLOOKUP(D12,Terrengtransport!A$1:K$125,68,FALSE)</f>
        <v>0</v>
      </c>
      <c r="E38" s="158">
        <f>HLOOKUP(E12,'Flishogging lunneplass'!A$1:I$133,73,FALSE)</f>
        <v>0</v>
      </c>
      <c r="F38" s="158">
        <f>HLOOKUP(F12,Vegtrans1!B$1:K$63,44,FALSE)</f>
        <v>0</v>
      </c>
      <c r="G38" s="158">
        <f>HLOOKUP(G12,'Flishogging terminal'!B$1:K$131,71,FALSE)</f>
        <v>0</v>
      </c>
      <c r="H38" s="174">
        <f>HLOOKUP(H12,Vegtrans2!B$1:D$58,42,FALSE)</f>
        <v>0</v>
      </c>
      <c r="I38" s="71"/>
      <c r="J38" s="72"/>
      <c r="K38" s="68"/>
      <c r="L38" s="67"/>
      <c r="M38" s="78"/>
    </row>
    <row r="39" spans="1:13" ht="15.75" thickBot="1" x14ac:dyDescent="0.3">
      <c r="A39" s="155" t="str">
        <f t="shared" si="5"/>
        <v/>
      </c>
      <c r="B39" s="176">
        <f>HLOOKUP(B13,Hogst!A$1:H$104,62,FALSE)</f>
        <v>0</v>
      </c>
      <c r="C39" s="176">
        <f>HLOOKUP(C13,Bunting!A$1:G$123,63,FALSE)</f>
        <v>0</v>
      </c>
      <c r="D39" s="176">
        <f>HLOOKUP(D13,Terrengtransport!A$1:K$125,68,FALSE)</f>
        <v>0</v>
      </c>
      <c r="E39" s="176">
        <f>HLOOKUP(E13,'Flishogging lunneplass'!A$1:I$133,73,FALSE)</f>
        <v>0</v>
      </c>
      <c r="F39" s="176">
        <f>HLOOKUP(F13,Vegtrans1!B$1:K$63,44,FALSE)</f>
        <v>0</v>
      </c>
      <c r="G39" s="176">
        <f>HLOOKUP(G13,'Flishogging terminal'!B$1:K$131,71,FALSE)</f>
        <v>0</v>
      </c>
      <c r="H39" s="177">
        <f>HLOOKUP(H13,Vegtrans2!B$1:D$58,42,FALSE)</f>
        <v>0</v>
      </c>
      <c r="I39" s="71"/>
      <c r="J39" s="72"/>
      <c r="K39" s="68"/>
      <c r="L39" s="67"/>
      <c r="M39" s="78"/>
    </row>
    <row r="40" spans="1:13" ht="15.75" thickTop="1" x14ac:dyDescent="0.25">
      <c r="A40" s="77"/>
      <c r="B40" s="68"/>
      <c r="C40" s="68"/>
      <c r="D40" s="68"/>
      <c r="E40" s="68"/>
      <c r="F40" s="68"/>
      <c r="G40" s="68"/>
      <c r="H40" s="68"/>
      <c r="I40" s="68"/>
      <c r="J40" s="68"/>
      <c r="K40" s="68"/>
      <c r="L40" s="67"/>
      <c r="M40" s="78"/>
    </row>
    <row r="41" spans="1:13" x14ac:dyDescent="0.25">
      <c r="A41" s="77"/>
      <c r="B41" s="68"/>
      <c r="C41" s="68"/>
      <c r="D41" s="68"/>
      <c r="E41" s="68"/>
      <c r="F41" s="68"/>
      <c r="G41" s="68"/>
      <c r="H41" s="68"/>
      <c r="I41" s="68"/>
      <c r="J41" s="68"/>
      <c r="K41" s="68"/>
      <c r="L41" s="67"/>
      <c r="M41" s="78"/>
    </row>
    <row r="42" spans="1:13" ht="15.75" thickBot="1" x14ac:dyDescent="0.3">
      <c r="A42" s="77"/>
      <c r="B42" s="68"/>
      <c r="C42" s="68"/>
      <c r="D42" s="68"/>
      <c r="E42" s="68"/>
      <c r="F42" s="68"/>
      <c r="G42" s="68"/>
      <c r="H42" s="68"/>
      <c r="I42" s="68"/>
      <c r="J42" s="68"/>
      <c r="K42" s="68"/>
      <c r="L42" s="67"/>
      <c r="M42" s="78"/>
    </row>
    <row r="43" spans="1:13" ht="16.5" thickTop="1" thickBot="1" x14ac:dyDescent="0.3">
      <c r="A43" s="180" t="s">
        <v>297</v>
      </c>
      <c r="B43" s="68"/>
      <c r="C43" s="68"/>
      <c r="D43" s="68"/>
      <c r="E43" s="68"/>
      <c r="F43" s="68"/>
      <c r="G43" s="68"/>
      <c r="H43" s="68"/>
      <c r="I43" s="68"/>
      <c r="J43" s="68"/>
      <c r="K43" s="68"/>
      <c r="L43" s="67"/>
      <c r="M43" s="78"/>
    </row>
    <row r="44" spans="1:13" ht="15.75" thickTop="1" x14ac:dyDescent="0.25">
      <c r="A44" s="179" t="s">
        <v>364</v>
      </c>
      <c r="B44" s="147" t="str">
        <f ca="1">MID(CELL("filnavn",Hogst!$A1),FIND("]",CELL("filnavn",Hogst!$A1))+1,LEN(CELL("filnavn",Hogst!$A1))-FIND("]",CELL("filnavn",Hogst!$A1)))</f>
        <v>Hogst</v>
      </c>
      <c r="C44" s="147" t="str">
        <f ca="1">MID(CELL("filnavn",Bunting!B1),FIND("]",CELL("filnavn",Bunting!B1))+1,LEN(CELL("filnavn",Bunting!B1))-FIND("]",CELL("filnavn",Bunting!B1)))</f>
        <v>Bunting</v>
      </c>
      <c r="D44" s="147" t="str">
        <f ca="1">MID(CELL("filnavn",Terrengtransport!$A$1),FIND("]",CELL("filnavn",Terrengtransport!$A$1))+1,LEN(CELL("filnavn",Terrengtransport!$A$1))-FIND("]",CELL("filnavn",Terrengtransport!$A$1)))</f>
        <v>Terrengtransport</v>
      </c>
      <c r="E44" s="147" t="str">
        <f ca="1">MID(CELL("filnavn",'Flishogging lunneplass'!$A$1),FIND("]",CELL("filnavn",'Flishogging lunneplass'!$A$1))+1,LEN(CELL("filnavn",'Flishogging lunneplass'!$A$1))-FIND("]",CELL("filnavn",'Flishogging lunneplass'!$A$1)))</f>
        <v>Flishogging lunneplass</v>
      </c>
      <c r="F44" s="147" t="str">
        <f ca="1">MID(CELL("filnavn",Vegtrans1!$A$1),FIND("]",CELL("filnavn",Vegtrans1!$A$1))+1,LEN(CELL("filnavn",Vegtrans1!$A$1))-FIND("]",CELL("filnavn",Vegtrans1!$A$1)))</f>
        <v>Vegtrans1</v>
      </c>
      <c r="G44" s="147" t="str">
        <f ca="1">MID(CELL("filnavn",'Flishogging terminal'!$A$1),FIND("]",CELL("filnavn",'Flishogging terminal'!$A$1))+1,LEN(CELL("filnavn",'Flishogging terminal'!$A$1))-FIND("]",CELL("filnavn",'Flishogging terminal'!$A$1)))</f>
        <v>Flishogging terminal</v>
      </c>
      <c r="H44" s="147" t="str">
        <f ca="1">MID(CELL("filnavn",Vegtrans2!$A$1),FIND("]",CELL("filnavn",Vegtrans2!$A$1))+1,LEN(CELL("filnavn",Vegtrans2!$A$1))-FIND("]",CELL("filnavn",Vegtrans2!$A$1)))</f>
        <v>Vegtrans2</v>
      </c>
      <c r="I44" s="147" t="s">
        <v>238</v>
      </c>
      <c r="J44" s="148" t="s">
        <v>249</v>
      </c>
      <c r="K44" s="68"/>
      <c r="L44" s="67"/>
      <c r="M44" s="78"/>
    </row>
    <row r="45" spans="1:13" x14ac:dyDescent="0.25">
      <c r="A45" s="149" t="str">
        <f t="shared" ref="A45:A52" si="6">A6</f>
        <v>Terrengflishugger</v>
      </c>
      <c r="B45" s="150">
        <f>B20/Forutsetninger!$M$4*100/1000</f>
        <v>6.0270288017098261</v>
      </c>
      <c r="C45" s="150">
        <f>C20/Forutsetninger!$M$4*100/1000</f>
        <v>0</v>
      </c>
      <c r="D45" s="150">
        <f>D20/Forutsetninger!$M$4*100/1000</f>
        <v>4.0413613816077412</v>
      </c>
      <c r="E45" s="150">
        <f>E20/Forutsetninger!$M$4*100/1000</f>
        <v>6.659688341803597</v>
      </c>
      <c r="F45" s="150">
        <f>F20/Forutsetninger!$M$4*100/1000</f>
        <v>4.6730687822844192</v>
      </c>
      <c r="G45" s="167">
        <f>G20/Forutsetninger!$M$4*100/1000</f>
        <v>0</v>
      </c>
      <c r="H45" s="150">
        <f>H20/Forutsetninger!$M$4*100/1000</f>
        <v>1.8346668805784341</v>
      </c>
      <c r="I45" s="150">
        <f>I20/Forutsetninger!$M$4*100/1000</f>
        <v>0.84519340741160376</v>
      </c>
      <c r="J45" s="151">
        <f>SUM(B45:I45)</f>
        <v>24.081007595395626</v>
      </c>
      <c r="K45" s="68"/>
      <c r="L45" s="67"/>
      <c r="M45" s="78"/>
    </row>
    <row r="46" spans="1:13" x14ac:dyDescent="0.25">
      <c r="A46" s="152" t="str">
        <f t="shared" si="6"/>
        <v>Terminalhogger</v>
      </c>
      <c r="B46" s="153">
        <f>B21/Forutsetninger!$M$4*100/1000</f>
        <v>7.0017249944730242</v>
      </c>
      <c r="C46" s="153">
        <f>C21/Forutsetninger!$M$4*100/1000</f>
        <v>0</v>
      </c>
      <c r="D46" s="153">
        <f>D21/Forutsetninger!$M$4*100/1000</f>
        <v>4.2099635440735206</v>
      </c>
      <c r="E46" s="153">
        <f>E21/Forutsetninger!$M$4*100/1000</f>
        <v>0</v>
      </c>
      <c r="F46" s="153">
        <f>F21/Forutsetninger!$M$4*100/1000</f>
        <v>8.7808645308855322</v>
      </c>
      <c r="G46" s="168">
        <f>G21/Forutsetninger!$M$4*100/1000</f>
        <v>2.4941249929061815</v>
      </c>
      <c r="H46" s="153">
        <f>H21/Forutsetninger!$M$4*100/1000</f>
        <v>1.8346668805784341</v>
      </c>
      <c r="I46" s="153">
        <f>I21/Forutsetninger!$M$4*100/1000</f>
        <v>1.2603940058877583</v>
      </c>
      <c r="J46" s="154">
        <f t="shared" ref="J46:J52" si="7">SUM(B46:I46)</f>
        <v>25.58173894880445</v>
      </c>
      <c r="K46" s="68"/>
      <c r="L46" s="67"/>
      <c r="M46" s="78"/>
    </row>
    <row r="47" spans="1:13" x14ac:dyDescent="0.25">
      <c r="A47" s="149" t="str">
        <f t="shared" si="6"/>
        <v>Flis fra vegkant 1</v>
      </c>
      <c r="B47" s="150">
        <f>B22/Forutsetninger!$M$4*100/1000</f>
        <v>7.0017249944730242</v>
      </c>
      <c r="C47" s="150">
        <f>C22/Forutsetninger!$M$4*100/1000</f>
        <v>0</v>
      </c>
      <c r="D47" s="150">
        <f>D22/Forutsetninger!$M$4*100/1000</f>
        <v>4.0413613816077412</v>
      </c>
      <c r="E47" s="150">
        <f>E22/Forutsetninger!$M$4*100/1000</f>
        <v>3.8871178474980512</v>
      </c>
      <c r="F47" s="150">
        <f>F22/Forutsetninger!$M$4*100/1000</f>
        <v>4.6730687822844192</v>
      </c>
      <c r="G47" s="167">
        <f>G22/Forutsetninger!$M$4*100/1000</f>
        <v>0</v>
      </c>
      <c r="H47" s="150">
        <f>H22/Forutsetninger!$M$4*100/1000</f>
        <v>1.8346668805784341</v>
      </c>
      <c r="I47" s="150">
        <f>I22/Forutsetninger!$M$4*100/1000</f>
        <v>0.84519340741160376</v>
      </c>
      <c r="J47" s="151">
        <f t="shared" si="7"/>
        <v>22.283133293853275</v>
      </c>
      <c r="K47" s="68"/>
      <c r="L47" s="67"/>
      <c r="M47" s="78"/>
    </row>
    <row r="48" spans="1:13" x14ac:dyDescent="0.25">
      <c r="A48" s="152" t="str">
        <f t="shared" si="6"/>
        <v>Flis fra vegkant 2</v>
      </c>
      <c r="B48" s="153">
        <f>B23/Forutsetninger!$M$4*100/1000</f>
        <v>7.0017249944730242</v>
      </c>
      <c r="C48" s="153">
        <f>C23/Forutsetninger!$M$4*100/1000</f>
        <v>0</v>
      </c>
      <c r="D48" s="153">
        <f>D23/Forutsetninger!$M$4*100/1000</f>
        <v>4.0413613816077412</v>
      </c>
      <c r="E48" s="153">
        <f>E23/Forutsetninger!$M$4*100/1000</f>
        <v>5.1940676876066281</v>
      </c>
      <c r="F48" s="153">
        <f>F23/Forutsetninger!$M$4*100/1000</f>
        <v>4.8057004436162707</v>
      </c>
      <c r="G48" s="168">
        <f>G23/Forutsetninger!$M$4*100/1000</f>
        <v>0</v>
      </c>
      <c r="H48" s="153">
        <f>H23/Forutsetninger!$M$4*100/1000</f>
        <v>0</v>
      </c>
      <c r="I48" s="153">
        <f>I23/Forutsetninger!$M$4*100/1000</f>
        <v>0.36757418914378248</v>
      </c>
      <c r="J48" s="154">
        <f t="shared" si="7"/>
        <v>21.410428696447443</v>
      </c>
      <c r="K48" s="68"/>
      <c r="L48" s="67"/>
      <c r="M48" s="78"/>
    </row>
    <row r="49" spans="1:13" x14ac:dyDescent="0.25">
      <c r="A49" s="149">
        <f t="shared" si="6"/>
        <v>0</v>
      </c>
      <c r="B49" s="150">
        <f>B24/Forutsetninger!$M$4*100/1000</f>
        <v>0</v>
      </c>
      <c r="C49" s="150">
        <f>C24/Forutsetninger!$M$4*100/1000</f>
        <v>0</v>
      </c>
      <c r="D49" s="150">
        <f>D24/Forutsetninger!$M$4*100/1000</f>
        <v>0</v>
      </c>
      <c r="E49" s="150">
        <f>E24/Forutsetninger!$M$4*100/1000</f>
        <v>0</v>
      </c>
      <c r="F49" s="150">
        <f>F24/Forutsetninger!$M$4*100/1000</f>
        <v>0</v>
      </c>
      <c r="G49" s="167">
        <f>G24/Forutsetninger!$M$4*100/1000</f>
        <v>0</v>
      </c>
      <c r="H49" s="150">
        <f>H24/Forutsetninger!$M$4*100/1000</f>
        <v>0</v>
      </c>
      <c r="I49" s="150">
        <f>I24/Forutsetninger!$M$4*100/1000</f>
        <v>0</v>
      </c>
      <c r="J49" s="151">
        <f t="shared" si="7"/>
        <v>0</v>
      </c>
      <c r="K49" s="68"/>
      <c r="L49" s="67"/>
      <c r="M49" s="78"/>
    </row>
    <row r="50" spans="1:13" x14ac:dyDescent="0.25">
      <c r="A50" s="152">
        <f t="shared" si="6"/>
        <v>0</v>
      </c>
      <c r="B50" s="153">
        <f>B25/Forutsetninger!$M$4*100/1000</f>
        <v>0</v>
      </c>
      <c r="C50" s="153">
        <f>C25/Forutsetninger!$M$4*100/1000</f>
        <v>0</v>
      </c>
      <c r="D50" s="153">
        <f>D25/Forutsetninger!$M$4*100/1000</f>
        <v>0</v>
      </c>
      <c r="E50" s="153">
        <f>E25/Forutsetninger!$M$4*100/1000</f>
        <v>0</v>
      </c>
      <c r="F50" s="153">
        <f>F25/Forutsetninger!$M$4*100/1000</f>
        <v>0</v>
      </c>
      <c r="G50" s="168">
        <f>G25/Forutsetninger!$M$4*100/1000</f>
        <v>0</v>
      </c>
      <c r="H50" s="153">
        <f>H25/Forutsetninger!$M$4*100/1000</f>
        <v>0</v>
      </c>
      <c r="I50" s="153">
        <f>I25/Forutsetninger!$M$4*100/1000</f>
        <v>0</v>
      </c>
      <c r="J50" s="154">
        <f t="shared" si="7"/>
        <v>0</v>
      </c>
      <c r="K50" s="68"/>
      <c r="L50" s="67"/>
      <c r="M50" s="78"/>
    </row>
    <row r="51" spans="1:13" x14ac:dyDescent="0.25">
      <c r="A51" s="149">
        <f t="shared" si="6"/>
        <v>0</v>
      </c>
      <c r="B51" s="150">
        <f>B26/Forutsetninger!$M$4*100/1000</f>
        <v>0</v>
      </c>
      <c r="C51" s="150">
        <f>C26/Forutsetninger!$M$4*100/1000</f>
        <v>0</v>
      </c>
      <c r="D51" s="150">
        <f>D26/Forutsetninger!$M$4*100/1000</f>
        <v>0</v>
      </c>
      <c r="E51" s="150">
        <f>E26/Forutsetninger!$M$4*100/1000</f>
        <v>0</v>
      </c>
      <c r="F51" s="150">
        <f>F26/Forutsetninger!$M$4*100/1000</f>
        <v>0</v>
      </c>
      <c r="G51" s="167">
        <f>G26/Forutsetninger!$M$4*100/1000</f>
        <v>0</v>
      </c>
      <c r="H51" s="150">
        <f>H26/Forutsetninger!$M$4*100/1000</f>
        <v>0</v>
      </c>
      <c r="I51" s="150">
        <f>I26/Forutsetninger!$M$4*100/1000</f>
        <v>0</v>
      </c>
      <c r="J51" s="151">
        <f t="shared" si="7"/>
        <v>0</v>
      </c>
      <c r="K51" s="68"/>
      <c r="L51" s="67"/>
      <c r="M51" s="78"/>
    </row>
    <row r="52" spans="1:13" ht="15.75" thickBot="1" x14ac:dyDescent="0.3">
      <c r="A52" s="155">
        <f t="shared" si="6"/>
        <v>0</v>
      </c>
      <c r="B52" s="156">
        <f>B27/Forutsetninger!$M$4*100/1000</f>
        <v>0</v>
      </c>
      <c r="C52" s="156">
        <f>C27/Forutsetninger!$M$4*100/1000</f>
        <v>0</v>
      </c>
      <c r="D52" s="156">
        <f>D27/Forutsetninger!$M$4*100/1000</f>
        <v>0</v>
      </c>
      <c r="E52" s="156">
        <f>E27/Forutsetninger!$M$4*100/1000</f>
        <v>0</v>
      </c>
      <c r="F52" s="156">
        <f>F27/Forutsetninger!$M$4*100/1000</f>
        <v>0</v>
      </c>
      <c r="G52" s="169">
        <f>G27/Forutsetninger!$M$4*100/1000</f>
        <v>0</v>
      </c>
      <c r="H52" s="156">
        <f>H27/Forutsetninger!$M$4*100/1000</f>
        <v>0</v>
      </c>
      <c r="I52" s="156">
        <f>I27/Forutsetninger!$M$4*100/1000</f>
        <v>0</v>
      </c>
      <c r="J52" s="157">
        <f t="shared" si="7"/>
        <v>0</v>
      </c>
      <c r="K52" s="68"/>
      <c r="L52" s="67"/>
      <c r="M52" s="78"/>
    </row>
    <row r="53" spans="1:13" ht="15.75" thickTop="1" x14ac:dyDescent="0.25">
      <c r="A53" s="77"/>
      <c r="B53" s="68"/>
      <c r="C53" s="68"/>
      <c r="D53" s="68"/>
      <c r="E53" s="68"/>
      <c r="F53" s="68"/>
      <c r="G53" s="68"/>
      <c r="H53" s="68"/>
      <c r="I53" s="68"/>
      <c r="J53" s="68"/>
      <c r="K53" s="68"/>
      <c r="L53" s="67"/>
      <c r="M53" s="78"/>
    </row>
    <row r="54" spans="1:13" x14ac:dyDescent="0.25">
      <c r="A54" s="77"/>
      <c r="B54" s="68"/>
      <c r="C54" s="68"/>
      <c r="D54" s="68"/>
      <c r="E54" s="68"/>
      <c r="F54" s="68"/>
      <c r="G54" s="68"/>
      <c r="H54" s="68"/>
      <c r="I54" s="68"/>
      <c r="J54" s="68"/>
      <c r="K54" s="68"/>
      <c r="L54" s="67"/>
      <c r="M54" s="78"/>
    </row>
    <row r="55" spans="1:13" x14ac:dyDescent="0.25">
      <c r="A55" s="79"/>
      <c r="B55" s="67"/>
      <c r="C55" s="67"/>
      <c r="D55" s="67"/>
      <c r="E55" s="67"/>
      <c r="F55" s="67"/>
      <c r="G55" s="67"/>
      <c r="H55" s="67"/>
      <c r="I55" s="67"/>
      <c r="J55" s="67"/>
      <c r="K55" s="67"/>
      <c r="L55" s="67"/>
      <c r="M55" s="78"/>
    </row>
    <row r="56" spans="1:13" x14ac:dyDescent="0.25">
      <c r="A56" s="79"/>
      <c r="B56" s="67"/>
      <c r="C56" s="67"/>
      <c r="D56" s="67"/>
      <c r="E56" s="67"/>
      <c r="F56" s="67"/>
      <c r="G56" s="67"/>
      <c r="H56" s="67"/>
      <c r="I56" s="67"/>
      <c r="J56" s="67"/>
      <c r="K56" s="67"/>
      <c r="L56" s="67"/>
      <c r="M56" s="78"/>
    </row>
    <row r="57" spans="1:13" ht="15.75" thickBot="1" x14ac:dyDescent="0.3">
      <c r="A57" s="80"/>
      <c r="B57" s="81"/>
      <c r="C57" s="81"/>
      <c r="D57" s="81"/>
      <c r="E57" s="81"/>
      <c r="F57" s="81"/>
      <c r="G57" s="81"/>
      <c r="H57" s="81"/>
      <c r="I57" s="81"/>
      <c r="J57" s="81"/>
      <c r="K57" s="81"/>
      <c r="L57" s="81"/>
      <c r="M57" s="82"/>
    </row>
    <row r="58" spans="1:13" ht="15.75" thickTop="1" x14ac:dyDescent="0.25"/>
  </sheetData>
  <protectedRanges>
    <protectedRange sqref="N19:N26 M20:M26 J20:J27 K21:K26 M7:M16 J32:J39 N9:N16 A62 B45:J52 B20:H27 O6:Q16 N6:N7 B6:E16 G6:K16 F6:F14 F16 B32:H39" name="Område1"/>
  </protectedRanges>
  <mergeCells count="1">
    <mergeCell ref="I4:K4"/>
  </mergeCells>
  <conditionalFormatting sqref="J20:J27">
    <cfRule type="colorScale" priority="5">
      <colorScale>
        <cfvo type="min"/>
        <cfvo type="percentile" val="50"/>
        <cfvo type="max"/>
        <color rgb="FF63BE7B"/>
        <color rgb="FFFFEB84"/>
        <color rgb="FFF8696B"/>
      </colorScale>
    </cfRule>
  </conditionalFormatting>
  <conditionalFormatting sqref="J32:J39">
    <cfRule type="colorScale" priority="6">
      <colorScale>
        <cfvo type="min"/>
        <cfvo type="percentile" val="50"/>
        <cfvo type="max"/>
        <color rgb="FF63BE7B"/>
        <color rgb="FFFFEB84"/>
        <color rgb="FFF8696B"/>
      </colorScale>
    </cfRule>
  </conditionalFormatting>
  <conditionalFormatting sqref="J45:J52">
    <cfRule type="colorScale" priority="7">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4186" r:id="rId4" name="ComboBox14">
          <controlPr defaultSize="0" autoLine="0" linkedCell="B13" listFillRange="hogst" r:id="rId5">
            <anchor moveWithCells="1">
              <from>
                <xdr:col>1</xdr:col>
                <xdr:colOff>9525</xdr:colOff>
                <xdr:row>12</xdr:row>
                <xdr:rowOff>28575</xdr:rowOff>
              </from>
              <to>
                <xdr:col>1</xdr:col>
                <xdr:colOff>895350</xdr:colOff>
                <xdr:row>12</xdr:row>
                <xdr:rowOff>257175</xdr:rowOff>
              </to>
            </anchor>
          </controlPr>
        </control>
      </mc:Choice>
      <mc:Fallback>
        <control shapeId="4186" r:id="rId4" name="ComboBox14"/>
      </mc:Fallback>
    </mc:AlternateContent>
    <mc:AlternateContent xmlns:mc="http://schemas.openxmlformats.org/markup-compatibility/2006">
      <mc:Choice Requires="x14">
        <control shapeId="4185" r:id="rId6" name="ComboBox13">
          <controlPr defaultSize="0" autoLine="0" linkedCell="B12" listFillRange="hogst" r:id="rId7">
            <anchor moveWithCells="1">
              <from>
                <xdr:col>1</xdr:col>
                <xdr:colOff>9525</xdr:colOff>
                <xdr:row>11</xdr:row>
                <xdr:rowOff>28575</xdr:rowOff>
              </from>
              <to>
                <xdr:col>1</xdr:col>
                <xdr:colOff>895350</xdr:colOff>
                <xdr:row>11</xdr:row>
                <xdr:rowOff>257175</xdr:rowOff>
              </to>
            </anchor>
          </controlPr>
        </control>
      </mc:Choice>
      <mc:Fallback>
        <control shapeId="4185" r:id="rId6" name="ComboBox13"/>
      </mc:Fallback>
    </mc:AlternateContent>
    <mc:AlternateContent xmlns:mc="http://schemas.openxmlformats.org/markup-compatibility/2006">
      <mc:Choice Requires="x14">
        <control shapeId="4184" r:id="rId8" name="ComboBox12">
          <controlPr defaultSize="0" autoLine="0" linkedCell="B11" listFillRange="hogst" r:id="rId9">
            <anchor moveWithCells="1">
              <from>
                <xdr:col>1</xdr:col>
                <xdr:colOff>9525</xdr:colOff>
                <xdr:row>10</xdr:row>
                <xdr:rowOff>28575</xdr:rowOff>
              </from>
              <to>
                <xdr:col>1</xdr:col>
                <xdr:colOff>895350</xdr:colOff>
                <xdr:row>10</xdr:row>
                <xdr:rowOff>257175</xdr:rowOff>
              </to>
            </anchor>
          </controlPr>
        </control>
      </mc:Choice>
      <mc:Fallback>
        <control shapeId="4184" r:id="rId8" name="ComboBox12"/>
      </mc:Fallback>
    </mc:AlternateContent>
    <mc:AlternateContent xmlns:mc="http://schemas.openxmlformats.org/markup-compatibility/2006">
      <mc:Choice Requires="x14">
        <control shapeId="4183" r:id="rId10" name="ComboBox11">
          <controlPr defaultSize="0" autoLine="0" linkedCell="B10" listFillRange="hogst" r:id="rId11">
            <anchor moveWithCells="1">
              <from>
                <xdr:col>1</xdr:col>
                <xdr:colOff>9525</xdr:colOff>
                <xdr:row>9</xdr:row>
                <xdr:rowOff>28575</xdr:rowOff>
              </from>
              <to>
                <xdr:col>1</xdr:col>
                <xdr:colOff>895350</xdr:colOff>
                <xdr:row>9</xdr:row>
                <xdr:rowOff>257175</xdr:rowOff>
              </to>
            </anchor>
          </controlPr>
        </control>
      </mc:Choice>
      <mc:Fallback>
        <control shapeId="4183" r:id="rId10" name="ComboBox11"/>
      </mc:Fallback>
    </mc:AlternateContent>
    <mc:AlternateContent xmlns:mc="http://schemas.openxmlformats.org/markup-compatibility/2006">
      <mc:Choice Requires="x14">
        <control shapeId="4182" r:id="rId12" name="ComboBox10">
          <controlPr defaultSize="0" autoLine="0" linkedCell="B9" listFillRange="hogst" r:id="rId13">
            <anchor moveWithCells="1">
              <from>
                <xdr:col>1</xdr:col>
                <xdr:colOff>9525</xdr:colOff>
                <xdr:row>8</xdr:row>
                <xdr:rowOff>28575</xdr:rowOff>
              </from>
              <to>
                <xdr:col>1</xdr:col>
                <xdr:colOff>895350</xdr:colOff>
                <xdr:row>8</xdr:row>
                <xdr:rowOff>257175</xdr:rowOff>
              </to>
            </anchor>
          </controlPr>
        </control>
      </mc:Choice>
      <mc:Fallback>
        <control shapeId="4182" r:id="rId12" name="ComboBox10"/>
      </mc:Fallback>
    </mc:AlternateContent>
    <mc:AlternateContent xmlns:mc="http://schemas.openxmlformats.org/markup-compatibility/2006">
      <mc:Choice Requires="x14">
        <control shapeId="4181" r:id="rId14" name="ComboBox9">
          <controlPr defaultSize="0" autoLine="0" linkedCell="B8" listFillRange="hogst" r:id="rId15">
            <anchor moveWithCells="1">
              <from>
                <xdr:col>1</xdr:col>
                <xdr:colOff>9525</xdr:colOff>
                <xdr:row>7</xdr:row>
                <xdr:rowOff>28575</xdr:rowOff>
              </from>
              <to>
                <xdr:col>1</xdr:col>
                <xdr:colOff>895350</xdr:colOff>
                <xdr:row>7</xdr:row>
                <xdr:rowOff>257175</xdr:rowOff>
              </to>
            </anchor>
          </controlPr>
        </control>
      </mc:Choice>
      <mc:Fallback>
        <control shapeId="4181" r:id="rId14" name="ComboBox9"/>
      </mc:Fallback>
    </mc:AlternateContent>
    <mc:AlternateContent xmlns:mc="http://schemas.openxmlformats.org/markup-compatibility/2006">
      <mc:Choice Requires="x14">
        <control shapeId="4180" r:id="rId16" name="ComboBox8">
          <controlPr defaultSize="0" autoLine="0" linkedCell="B7" listFillRange="hogst" r:id="rId17">
            <anchor moveWithCells="1">
              <from>
                <xdr:col>1</xdr:col>
                <xdr:colOff>9525</xdr:colOff>
                <xdr:row>6</xdr:row>
                <xdr:rowOff>28575</xdr:rowOff>
              </from>
              <to>
                <xdr:col>1</xdr:col>
                <xdr:colOff>895350</xdr:colOff>
                <xdr:row>6</xdr:row>
                <xdr:rowOff>257175</xdr:rowOff>
              </to>
            </anchor>
          </controlPr>
        </control>
      </mc:Choice>
      <mc:Fallback>
        <control shapeId="4180" r:id="rId16" name="ComboBox8"/>
      </mc:Fallback>
    </mc:AlternateContent>
    <mc:AlternateContent xmlns:mc="http://schemas.openxmlformats.org/markup-compatibility/2006">
      <mc:Choice Requires="x14">
        <control shapeId="4179" r:id="rId18" name="ComboBox1">
          <controlPr defaultSize="0" autoLine="0" linkedCell="B6" listFillRange="hogst" r:id="rId19">
            <anchor moveWithCells="1">
              <from>
                <xdr:col>1</xdr:col>
                <xdr:colOff>9525</xdr:colOff>
                <xdr:row>5</xdr:row>
                <xdr:rowOff>28575</xdr:rowOff>
              </from>
              <to>
                <xdr:col>1</xdr:col>
                <xdr:colOff>895350</xdr:colOff>
                <xdr:row>5</xdr:row>
                <xdr:rowOff>257175</xdr:rowOff>
              </to>
            </anchor>
          </controlPr>
        </control>
      </mc:Choice>
      <mc:Fallback>
        <control shapeId="4179" r:id="rId18" name="ComboBox1"/>
      </mc:Fallback>
    </mc:AlternateContent>
    <mc:AlternateContent xmlns:mc="http://schemas.openxmlformats.org/markup-compatibility/2006">
      <mc:Choice Requires="x14">
        <control shapeId="4173" r:id="rId20" name="ComboBox68">
          <controlPr defaultSize="0" autoLine="0" linkedCell="H13" listFillRange="Vegtrans2" r:id="rId21">
            <anchor moveWithCells="1">
              <from>
                <xdr:col>7</xdr:col>
                <xdr:colOff>0</xdr:colOff>
                <xdr:row>12</xdr:row>
                <xdr:rowOff>19050</xdr:rowOff>
              </from>
              <to>
                <xdr:col>7</xdr:col>
                <xdr:colOff>1143000</xdr:colOff>
                <xdr:row>12</xdr:row>
                <xdr:rowOff>247650</xdr:rowOff>
              </to>
            </anchor>
          </controlPr>
        </control>
      </mc:Choice>
      <mc:Fallback>
        <control shapeId="4173" r:id="rId20" name="ComboBox68"/>
      </mc:Fallback>
    </mc:AlternateContent>
    <mc:AlternateContent xmlns:mc="http://schemas.openxmlformats.org/markup-compatibility/2006">
      <mc:Choice Requires="x14">
        <control shapeId="4172" r:id="rId22" name="ComboBox67">
          <controlPr defaultSize="0" autoLine="0" linkedCell="H12" listFillRange="Vegtrans2" r:id="rId23">
            <anchor moveWithCells="1">
              <from>
                <xdr:col>7</xdr:col>
                <xdr:colOff>0</xdr:colOff>
                <xdr:row>11</xdr:row>
                <xdr:rowOff>19050</xdr:rowOff>
              </from>
              <to>
                <xdr:col>7</xdr:col>
                <xdr:colOff>1143000</xdr:colOff>
                <xdr:row>11</xdr:row>
                <xdr:rowOff>247650</xdr:rowOff>
              </to>
            </anchor>
          </controlPr>
        </control>
      </mc:Choice>
      <mc:Fallback>
        <control shapeId="4172" r:id="rId22" name="ComboBox67"/>
      </mc:Fallback>
    </mc:AlternateContent>
    <mc:AlternateContent xmlns:mc="http://schemas.openxmlformats.org/markup-compatibility/2006">
      <mc:Choice Requires="x14">
        <control shapeId="4171" r:id="rId24" name="ComboBox66">
          <controlPr defaultSize="0" autoLine="0" linkedCell="H11" listFillRange="Vegtrans2" r:id="rId25">
            <anchor moveWithCells="1">
              <from>
                <xdr:col>7</xdr:col>
                <xdr:colOff>0</xdr:colOff>
                <xdr:row>10</xdr:row>
                <xdr:rowOff>19050</xdr:rowOff>
              </from>
              <to>
                <xdr:col>7</xdr:col>
                <xdr:colOff>1143000</xdr:colOff>
                <xdr:row>10</xdr:row>
                <xdr:rowOff>247650</xdr:rowOff>
              </to>
            </anchor>
          </controlPr>
        </control>
      </mc:Choice>
      <mc:Fallback>
        <control shapeId="4171" r:id="rId24" name="ComboBox66"/>
      </mc:Fallback>
    </mc:AlternateContent>
    <mc:AlternateContent xmlns:mc="http://schemas.openxmlformats.org/markup-compatibility/2006">
      <mc:Choice Requires="x14">
        <control shapeId="4170" r:id="rId26" name="ComboBox65">
          <controlPr defaultSize="0" autoLine="0" linkedCell="H10" listFillRange="Vegtrans2" r:id="rId27">
            <anchor moveWithCells="1">
              <from>
                <xdr:col>7</xdr:col>
                <xdr:colOff>0</xdr:colOff>
                <xdr:row>9</xdr:row>
                <xdr:rowOff>28575</xdr:rowOff>
              </from>
              <to>
                <xdr:col>7</xdr:col>
                <xdr:colOff>1143000</xdr:colOff>
                <xdr:row>9</xdr:row>
                <xdr:rowOff>257175</xdr:rowOff>
              </to>
            </anchor>
          </controlPr>
        </control>
      </mc:Choice>
      <mc:Fallback>
        <control shapeId="4170" r:id="rId26" name="ComboBox65"/>
      </mc:Fallback>
    </mc:AlternateContent>
    <mc:AlternateContent xmlns:mc="http://schemas.openxmlformats.org/markup-compatibility/2006">
      <mc:Choice Requires="x14">
        <control shapeId="4169" r:id="rId28" name="ComboBox64">
          <controlPr defaultSize="0" autoLine="0" linkedCell="H9" listFillRange="Vegtrans2" r:id="rId29">
            <anchor moveWithCells="1">
              <from>
                <xdr:col>7</xdr:col>
                <xdr:colOff>0</xdr:colOff>
                <xdr:row>8</xdr:row>
                <xdr:rowOff>38100</xdr:rowOff>
              </from>
              <to>
                <xdr:col>7</xdr:col>
                <xdr:colOff>1143000</xdr:colOff>
                <xdr:row>9</xdr:row>
                <xdr:rowOff>0</xdr:rowOff>
              </to>
            </anchor>
          </controlPr>
        </control>
      </mc:Choice>
      <mc:Fallback>
        <control shapeId="4169" r:id="rId28" name="ComboBox64"/>
      </mc:Fallback>
    </mc:AlternateContent>
    <mc:AlternateContent xmlns:mc="http://schemas.openxmlformats.org/markup-compatibility/2006">
      <mc:Choice Requires="x14">
        <control shapeId="4168" r:id="rId30" name="ComboBox63">
          <controlPr defaultSize="0" autoLine="0" linkedCell="H8" listFillRange="Vegtrans2" r:id="rId31">
            <anchor moveWithCells="1">
              <from>
                <xdr:col>7</xdr:col>
                <xdr:colOff>0</xdr:colOff>
                <xdr:row>7</xdr:row>
                <xdr:rowOff>38100</xdr:rowOff>
              </from>
              <to>
                <xdr:col>7</xdr:col>
                <xdr:colOff>1143000</xdr:colOff>
                <xdr:row>8</xdr:row>
                <xdr:rowOff>0</xdr:rowOff>
              </to>
            </anchor>
          </controlPr>
        </control>
      </mc:Choice>
      <mc:Fallback>
        <control shapeId="4168" r:id="rId30" name="ComboBox63"/>
      </mc:Fallback>
    </mc:AlternateContent>
    <mc:AlternateContent xmlns:mc="http://schemas.openxmlformats.org/markup-compatibility/2006">
      <mc:Choice Requires="x14">
        <control shapeId="4167" r:id="rId32" name="ComboBox62">
          <controlPr defaultSize="0" autoLine="0" linkedCell="H7" listFillRange="Vegtrans2" r:id="rId33">
            <anchor moveWithCells="1">
              <from>
                <xdr:col>7</xdr:col>
                <xdr:colOff>0</xdr:colOff>
                <xdr:row>6</xdr:row>
                <xdr:rowOff>38100</xdr:rowOff>
              </from>
              <to>
                <xdr:col>7</xdr:col>
                <xdr:colOff>1143000</xdr:colOff>
                <xdr:row>7</xdr:row>
                <xdr:rowOff>0</xdr:rowOff>
              </to>
            </anchor>
          </controlPr>
        </control>
      </mc:Choice>
      <mc:Fallback>
        <control shapeId="4167" r:id="rId32" name="ComboBox62"/>
      </mc:Fallback>
    </mc:AlternateContent>
    <mc:AlternateContent xmlns:mc="http://schemas.openxmlformats.org/markup-compatibility/2006">
      <mc:Choice Requires="x14">
        <control shapeId="4155" r:id="rId34" name="ComboBox50">
          <controlPr locked="0" defaultSize="0" autoLine="0" linkedCell="F13" listFillRange="Vegtrans1" r:id="rId35">
            <anchor moveWithCells="1">
              <from>
                <xdr:col>5</xdr:col>
                <xdr:colOff>9525</xdr:colOff>
                <xdr:row>12</xdr:row>
                <xdr:rowOff>19050</xdr:rowOff>
              </from>
              <to>
                <xdr:col>5</xdr:col>
                <xdr:colOff>1447800</xdr:colOff>
                <xdr:row>13</xdr:row>
                <xdr:rowOff>0</xdr:rowOff>
              </to>
            </anchor>
          </controlPr>
        </control>
      </mc:Choice>
      <mc:Fallback>
        <control shapeId="4155" r:id="rId34" name="ComboBox50"/>
      </mc:Fallback>
    </mc:AlternateContent>
    <mc:AlternateContent xmlns:mc="http://schemas.openxmlformats.org/markup-compatibility/2006">
      <mc:Choice Requires="x14">
        <control shapeId="4154" r:id="rId36" name="ComboBox49">
          <controlPr locked="0" defaultSize="0" autoLine="0" linkedCell="F12" listFillRange="Vegtrans1" r:id="rId37">
            <anchor moveWithCells="1">
              <from>
                <xdr:col>5</xdr:col>
                <xdr:colOff>9525</xdr:colOff>
                <xdr:row>11</xdr:row>
                <xdr:rowOff>19050</xdr:rowOff>
              </from>
              <to>
                <xdr:col>6</xdr:col>
                <xdr:colOff>9525</xdr:colOff>
                <xdr:row>11</xdr:row>
                <xdr:rowOff>247650</xdr:rowOff>
              </to>
            </anchor>
          </controlPr>
        </control>
      </mc:Choice>
      <mc:Fallback>
        <control shapeId="4154" r:id="rId36" name="ComboBox49"/>
      </mc:Fallback>
    </mc:AlternateContent>
    <mc:AlternateContent xmlns:mc="http://schemas.openxmlformats.org/markup-compatibility/2006">
      <mc:Choice Requires="x14">
        <control shapeId="4153" r:id="rId38" name="ComboBox48">
          <controlPr locked="0" defaultSize="0" autoLine="0" linkedCell="F11" listFillRange="Vegtrans1" r:id="rId39">
            <anchor moveWithCells="1">
              <from>
                <xdr:col>5</xdr:col>
                <xdr:colOff>9525</xdr:colOff>
                <xdr:row>10</xdr:row>
                <xdr:rowOff>19050</xdr:rowOff>
              </from>
              <to>
                <xdr:col>5</xdr:col>
                <xdr:colOff>1447800</xdr:colOff>
                <xdr:row>11</xdr:row>
                <xdr:rowOff>9525</xdr:rowOff>
              </to>
            </anchor>
          </controlPr>
        </control>
      </mc:Choice>
      <mc:Fallback>
        <control shapeId="4153" r:id="rId38" name="ComboBox48"/>
      </mc:Fallback>
    </mc:AlternateContent>
    <mc:AlternateContent xmlns:mc="http://schemas.openxmlformats.org/markup-compatibility/2006">
      <mc:Choice Requires="x14">
        <control shapeId="4152" r:id="rId40" name="ComboBox47">
          <controlPr locked="0" defaultSize="0" autoLine="0" linkedCell="F10" listFillRange="Vegtrans1" r:id="rId41">
            <anchor moveWithCells="1">
              <from>
                <xdr:col>5</xdr:col>
                <xdr:colOff>9525</xdr:colOff>
                <xdr:row>9</xdr:row>
                <xdr:rowOff>28575</xdr:rowOff>
              </from>
              <to>
                <xdr:col>5</xdr:col>
                <xdr:colOff>1447800</xdr:colOff>
                <xdr:row>9</xdr:row>
                <xdr:rowOff>257175</xdr:rowOff>
              </to>
            </anchor>
          </controlPr>
        </control>
      </mc:Choice>
      <mc:Fallback>
        <control shapeId="4152" r:id="rId40" name="ComboBox47"/>
      </mc:Fallback>
    </mc:AlternateContent>
    <mc:AlternateContent xmlns:mc="http://schemas.openxmlformats.org/markup-compatibility/2006">
      <mc:Choice Requires="x14">
        <control shapeId="4151" r:id="rId42" name="ComboBox46">
          <controlPr locked="0" defaultSize="0" autoLine="0" linkedCell="F9" listFillRange="Vegtrans1" r:id="rId43">
            <anchor moveWithCells="1">
              <from>
                <xdr:col>5</xdr:col>
                <xdr:colOff>9525</xdr:colOff>
                <xdr:row>8</xdr:row>
                <xdr:rowOff>38100</xdr:rowOff>
              </from>
              <to>
                <xdr:col>6</xdr:col>
                <xdr:colOff>9525</xdr:colOff>
                <xdr:row>9</xdr:row>
                <xdr:rowOff>0</xdr:rowOff>
              </to>
            </anchor>
          </controlPr>
        </control>
      </mc:Choice>
      <mc:Fallback>
        <control shapeId="4151" r:id="rId42" name="ComboBox46"/>
      </mc:Fallback>
    </mc:AlternateContent>
    <mc:AlternateContent xmlns:mc="http://schemas.openxmlformats.org/markup-compatibility/2006">
      <mc:Choice Requires="x14">
        <control shapeId="4150" r:id="rId44" name="ComboBox45">
          <controlPr locked="0" defaultSize="0" autoLine="0" linkedCell="F8" listFillRange="Vegtrans1" r:id="rId45">
            <anchor moveWithCells="1">
              <from>
                <xdr:col>5</xdr:col>
                <xdr:colOff>9525</xdr:colOff>
                <xdr:row>7</xdr:row>
                <xdr:rowOff>38100</xdr:rowOff>
              </from>
              <to>
                <xdr:col>5</xdr:col>
                <xdr:colOff>1428750</xdr:colOff>
                <xdr:row>7</xdr:row>
                <xdr:rowOff>257175</xdr:rowOff>
              </to>
            </anchor>
          </controlPr>
        </control>
      </mc:Choice>
      <mc:Fallback>
        <control shapeId="4150" r:id="rId44" name="ComboBox45"/>
      </mc:Fallback>
    </mc:AlternateContent>
    <mc:AlternateContent xmlns:mc="http://schemas.openxmlformats.org/markup-compatibility/2006">
      <mc:Choice Requires="x14">
        <control shapeId="4149" r:id="rId46" name="ComboBox44">
          <controlPr locked="0" defaultSize="0" autoLine="0" linkedCell="F7" listFillRange="Vegtrans1" r:id="rId47">
            <anchor moveWithCells="1">
              <from>
                <xdr:col>5</xdr:col>
                <xdr:colOff>9525</xdr:colOff>
                <xdr:row>6</xdr:row>
                <xdr:rowOff>38100</xdr:rowOff>
              </from>
              <to>
                <xdr:col>5</xdr:col>
                <xdr:colOff>1419225</xdr:colOff>
                <xdr:row>7</xdr:row>
                <xdr:rowOff>0</xdr:rowOff>
              </to>
            </anchor>
          </controlPr>
        </control>
      </mc:Choice>
      <mc:Fallback>
        <control shapeId="4149" r:id="rId46" name="ComboBox44"/>
      </mc:Fallback>
    </mc:AlternateContent>
    <mc:AlternateContent xmlns:mc="http://schemas.openxmlformats.org/markup-compatibility/2006">
      <mc:Choice Requires="x14">
        <control shapeId="4146" r:id="rId48" name="ComboBox41">
          <controlPr locked="0" autoLine="0" linkedCell="E13" listFillRange="Vegkantlunne" r:id="rId49">
            <anchor moveWithCells="1">
              <from>
                <xdr:col>4</xdr:col>
                <xdr:colOff>19050</xdr:colOff>
                <xdr:row>12</xdr:row>
                <xdr:rowOff>19050</xdr:rowOff>
              </from>
              <to>
                <xdr:col>4</xdr:col>
                <xdr:colOff>1171575</xdr:colOff>
                <xdr:row>12</xdr:row>
                <xdr:rowOff>247650</xdr:rowOff>
              </to>
            </anchor>
          </controlPr>
        </control>
      </mc:Choice>
      <mc:Fallback>
        <control shapeId="4146" r:id="rId48" name="ComboBox41"/>
      </mc:Fallback>
    </mc:AlternateContent>
    <mc:AlternateContent xmlns:mc="http://schemas.openxmlformats.org/markup-compatibility/2006">
      <mc:Choice Requires="x14">
        <control shapeId="4145" r:id="rId50" name="ComboBox40">
          <controlPr locked="0" autoLine="0" linkedCell="E12" listFillRange="Vegkantlunne" r:id="rId51">
            <anchor moveWithCells="1">
              <from>
                <xdr:col>4</xdr:col>
                <xdr:colOff>19050</xdr:colOff>
                <xdr:row>11</xdr:row>
                <xdr:rowOff>19050</xdr:rowOff>
              </from>
              <to>
                <xdr:col>4</xdr:col>
                <xdr:colOff>1171575</xdr:colOff>
                <xdr:row>11</xdr:row>
                <xdr:rowOff>247650</xdr:rowOff>
              </to>
            </anchor>
          </controlPr>
        </control>
      </mc:Choice>
      <mc:Fallback>
        <control shapeId="4145" r:id="rId50" name="ComboBox40"/>
      </mc:Fallback>
    </mc:AlternateContent>
    <mc:AlternateContent xmlns:mc="http://schemas.openxmlformats.org/markup-compatibility/2006">
      <mc:Choice Requires="x14">
        <control shapeId="4144" r:id="rId52" name="ComboBox39">
          <controlPr locked="0" autoLine="0" linkedCell="E11" listFillRange="Vegkantlunne" r:id="rId53">
            <anchor moveWithCells="1">
              <from>
                <xdr:col>4</xdr:col>
                <xdr:colOff>19050</xdr:colOff>
                <xdr:row>10</xdr:row>
                <xdr:rowOff>19050</xdr:rowOff>
              </from>
              <to>
                <xdr:col>4</xdr:col>
                <xdr:colOff>1171575</xdr:colOff>
                <xdr:row>10</xdr:row>
                <xdr:rowOff>247650</xdr:rowOff>
              </to>
            </anchor>
          </controlPr>
        </control>
      </mc:Choice>
      <mc:Fallback>
        <control shapeId="4144" r:id="rId52" name="ComboBox39"/>
      </mc:Fallback>
    </mc:AlternateContent>
    <mc:AlternateContent xmlns:mc="http://schemas.openxmlformats.org/markup-compatibility/2006">
      <mc:Choice Requires="x14">
        <control shapeId="4143" r:id="rId54" name="ComboBox38">
          <controlPr locked="0" autoLine="0" linkedCell="E10" listFillRange="Vegkantlunne" r:id="rId55">
            <anchor moveWithCells="1">
              <from>
                <xdr:col>4</xdr:col>
                <xdr:colOff>19050</xdr:colOff>
                <xdr:row>9</xdr:row>
                <xdr:rowOff>28575</xdr:rowOff>
              </from>
              <to>
                <xdr:col>4</xdr:col>
                <xdr:colOff>1171575</xdr:colOff>
                <xdr:row>9</xdr:row>
                <xdr:rowOff>257175</xdr:rowOff>
              </to>
            </anchor>
          </controlPr>
        </control>
      </mc:Choice>
      <mc:Fallback>
        <control shapeId="4143" r:id="rId54" name="ComboBox38"/>
      </mc:Fallback>
    </mc:AlternateContent>
    <mc:AlternateContent xmlns:mc="http://schemas.openxmlformats.org/markup-compatibility/2006">
      <mc:Choice Requires="x14">
        <control shapeId="4142" r:id="rId56" name="ComboBox37">
          <controlPr locked="0" autoLine="0" linkedCell="E9" listFillRange="Vegkantlunne" r:id="rId57">
            <anchor moveWithCells="1">
              <from>
                <xdr:col>4</xdr:col>
                <xdr:colOff>19050</xdr:colOff>
                <xdr:row>8</xdr:row>
                <xdr:rowOff>38100</xdr:rowOff>
              </from>
              <to>
                <xdr:col>4</xdr:col>
                <xdr:colOff>1171575</xdr:colOff>
                <xdr:row>9</xdr:row>
                <xdr:rowOff>0</xdr:rowOff>
              </to>
            </anchor>
          </controlPr>
        </control>
      </mc:Choice>
      <mc:Fallback>
        <control shapeId="4142" r:id="rId56" name="ComboBox37"/>
      </mc:Fallback>
    </mc:AlternateContent>
    <mc:AlternateContent xmlns:mc="http://schemas.openxmlformats.org/markup-compatibility/2006">
      <mc:Choice Requires="x14">
        <control shapeId="4141" r:id="rId58" name="ComboBox36">
          <controlPr locked="0" autoLine="0" linkedCell="E8" listFillRange="Vegkantlunne" r:id="rId59">
            <anchor moveWithCells="1">
              <from>
                <xdr:col>4</xdr:col>
                <xdr:colOff>19050</xdr:colOff>
                <xdr:row>7</xdr:row>
                <xdr:rowOff>38100</xdr:rowOff>
              </from>
              <to>
                <xdr:col>4</xdr:col>
                <xdr:colOff>1171575</xdr:colOff>
                <xdr:row>8</xdr:row>
                <xdr:rowOff>0</xdr:rowOff>
              </to>
            </anchor>
          </controlPr>
        </control>
      </mc:Choice>
      <mc:Fallback>
        <control shapeId="4141" r:id="rId58" name="ComboBox36"/>
      </mc:Fallback>
    </mc:AlternateContent>
    <mc:AlternateContent xmlns:mc="http://schemas.openxmlformats.org/markup-compatibility/2006">
      <mc:Choice Requires="x14">
        <control shapeId="4140" r:id="rId60" name="ComboBox35">
          <controlPr locked="0" autoLine="0" linkedCell="E7" listFillRange="Vegkantlunne" r:id="rId61">
            <anchor moveWithCells="1">
              <from>
                <xdr:col>4</xdr:col>
                <xdr:colOff>19050</xdr:colOff>
                <xdr:row>6</xdr:row>
                <xdr:rowOff>38100</xdr:rowOff>
              </from>
              <to>
                <xdr:col>4</xdr:col>
                <xdr:colOff>1171575</xdr:colOff>
                <xdr:row>7</xdr:row>
                <xdr:rowOff>0</xdr:rowOff>
              </to>
            </anchor>
          </controlPr>
        </control>
      </mc:Choice>
      <mc:Fallback>
        <control shapeId="4140" r:id="rId60" name="ComboBox35"/>
      </mc:Fallback>
    </mc:AlternateContent>
    <mc:AlternateContent xmlns:mc="http://schemas.openxmlformats.org/markup-compatibility/2006">
      <mc:Choice Requires="x14">
        <control shapeId="4137" r:id="rId62" name="ComboBox32">
          <controlPr defaultSize="0" autoLine="0" linkedCell="D13" listFillRange="Terrengtransport" r:id="rId63">
            <anchor moveWithCells="1">
              <from>
                <xdr:col>3</xdr:col>
                <xdr:colOff>38100</xdr:colOff>
                <xdr:row>12</xdr:row>
                <xdr:rowOff>19050</xdr:rowOff>
              </from>
              <to>
                <xdr:col>3</xdr:col>
                <xdr:colOff>1181100</xdr:colOff>
                <xdr:row>12</xdr:row>
                <xdr:rowOff>247650</xdr:rowOff>
              </to>
            </anchor>
          </controlPr>
        </control>
      </mc:Choice>
      <mc:Fallback>
        <control shapeId="4137" r:id="rId62" name="ComboBox32"/>
      </mc:Fallback>
    </mc:AlternateContent>
    <mc:AlternateContent xmlns:mc="http://schemas.openxmlformats.org/markup-compatibility/2006">
      <mc:Choice Requires="x14">
        <control shapeId="4136" r:id="rId64" name="ComboBox31">
          <controlPr defaultSize="0" autoLine="0" linkedCell="D12" listFillRange="Terrengtransport" r:id="rId65">
            <anchor moveWithCells="1">
              <from>
                <xdr:col>3</xdr:col>
                <xdr:colOff>47625</xdr:colOff>
                <xdr:row>11</xdr:row>
                <xdr:rowOff>19050</xdr:rowOff>
              </from>
              <to>
                <xdr:col>3</xdr:col>
                <xdr:colOff>1190625</xdr:colOff>
                <xdr:row>11</xdr:row>
                <xdr:rowOff>247650</xdr:rowOff>
              </to>
            </anchor>
          </controlPr>
        </control>
      </mc:Choice>
      <mc:Fallback>
        <control shapeId="4136" r:id="rId64" name="ComboBox31"/>
      </mc:Fallback>
    </mc:AlternateContent>
    <mc:AlternateContent xmlns:mc="http://schemas.openxmlformats.org/markup-compatibility/2006">
      <mc:Choice Requires="x14">
        <control shapeId="4135" r:id="rId66" name="ComboBox30">
          <controlPr defaultSize="0" autoLine="0" linkedCell="D11" listFillRange="Terrengtransport" r:id="rId67">
            <anchor moveWithCells="1">
              <from>
                <xdr:col>3</xdr:col>
                <xdr:colOff>47625</xdr:colOff>
                <xdr:row>10</xdr:row>
                <xdr:rowOff>19050</xdr:rowOff>
              </from>
              <to>
                <xdr:col>3</xdr:col>
                <xdr:colOff>1190625</xdr:colOff>
                <xdr:row>10</xdr:row>
                <xdr:rowOff>247650</xdr:rowOff>
              </to>
            </anchor>
          </controlPr>
        </control>
      </mc:Choice>
      <mc:Fallback>
        <control shapeId="4135" r:id="rId66" name="ComboBox30"/>
      </mc:Fallback>
    </mc:AlternateContent>
    <mc:AlternateContent xmlns:mc="http://schemas.openxmlformats.org/markup-compatibility/2006">
      <mc:Choice Requires="x14">
        <control shapeId="4134" r:id="rId68" name="ComboBox29">
          <controlPr defaultSize="0" autoLine="0" linkedCell="D10" listFillRange="Terrengtransport" r:id="rId69">
            <anchor moveWithCells="1">
              <from>
                <xdr:col>3</xdr:col>
                <xdr:colOff>38100</xdr:colOff>
                <xdr:row>9</xdr:row>
                <xdr:rowOff>28575</xdr:rowOff>
              </from>
              <to>
                <xdr:col>3</xdr:col>
                <xdr:colOff>1181100</xdr:colOff>
                <xdr:row>9</xdr:row>
                <xdr:rowOff>257175</xdr:rowOff>
              </to>
            </anchor>
          </controlPr>
        </control>
      </mc:Choice>
      <mc:Fallback>
        <control shapeId="4134" r:id="rId68" name="ComboBox29"/>
      </mc:Fallback>
    </mc:AlternateContent>
    <mc:AlternateContent xmlns:mc="http://schemas.openxmlformats.org/markup-compatibility/2006">
      <mc:Choice Requires="x14">
        <control shapeId="4133" r:id="rId70" name="ComboBox28">
          <controlPr defaultSize="0" autoLine="0" linkedCell="D9" listFillRange="Terrengtransport" r:id="rId71">
            <anchor moveWithCells="1">
              <from>
                <xdr:col>3</xdr:col>
                <xdr:colOff>28575</xdr:colOff>
                <xdr:row>8</xdr:row>
                <xdr:rowOff>38100</xdr:rowOff>
              </from>
              <to>
                <xdr:col>3</xdr:col>
                <xdr:colOff>1171575</xdr:colOff>
                <xdr:row>9</xdr:row>
                <xdr:rowOff>0</xdr:rowOff>
              </to>
            </anchor>
          </controlPr>
        </control>
      </mc:Choice>
      <mc:Fallback>
        <control shapeId="4133" r:id="rId70" name="ComboBox28"/>
      </mc:Fallback>
    </mc:AlternateContent>
    <mc:AlternateContent xmlns:mc="http://schemas.openxmlformats.org/markup-compatibility/2006">
      <mc:Choice Requires="x14">
        <control shapeId="4132" r:id="rId72" name="ComboBox27">
          <controlPr defaultSize="0" autoLine="0" linkedCell="D8" listFillRange="Terrengtransport" r:id="rId73">
            <anchor moveWithCells="1">
              <from>
                <xdr:col>3</xdr:col>
                <xdr:colOff>38100</xdr:colOff>
                <xdr:row>7</xdr:row>
                <xdr:rowOff>38100</xdr:rowOff>
              </from>
              <to>
                <xdr:col>3</xdr:col>
                <xdr:colOff>1181100</xdr:colOff>
                <xdr:row>8</xdr:row>
                <xdr:rowOff>0</xdr:rowOff>
              </to>
            </anchor>
          </controlPr>
        </control>
      </mc:Choice>
      <mc:Fallback>
        <control shapeId="4132" r:id="rId72" name="ComboBox27"/>
      </mc:Fallback>
    </mc:AlternateContent>
    <mc:AlternateContent xmlns:mc="http://schemas.openxmlformats.org/markup-compatibility/2006">
      <mc:Choice Requires="x14">
        <control shapeId="4131" r:id="rId74" name="ComboBox26">
          <controlPr defaultSize="0" autoLine="0" linkedCell="D7" listFillRange="Terrengtransport" r:id="rId75">
            <anchor moveWithCells="1">
              <from>
                <xdr:col>3</xdr:col>
                <xdr:colOff>28575</xdr:colOff>
                <xdr:row>6</xdr:row>
                <xdr:rowOff>38100</xdr:rowOff>
              </from>
              <to>
                <xdr:col>3</xdr:col>
                <xdr:colOff>1171575</xdr:colOff>
                <xdr:row>7</xdr:row>
                <xdr:rowOff>0</xdr:rowOff>
              </to>
            </anchor>
          </controlPr>
        </control>
      </mc:Choice>
      <mc:Fallback>
        <control shapeId="4131" r:id="rId74" name="ComboBox26"/>
      </mc:Fallback>
    </mc:AlternateContent>
    <mc:AlternateContent xmlns:mc="http://schemas.openxmlformats.org/markup-compatibility/2006">
      <mc:Choice Requires="x14">
        <control shapeId="4128" r:id="rId76" name="ComboBox23">
          <controlPr defaultSize="0" autoLine="0" linkedCell="C13" listFillRange="ProsessTerrengListe" r:id="rId77">
            <anchor moveWithCells="1">
              <from>
                <xdr:col>2</xdr:col>
                <xdr:colOff>19050</xdr:colOff>
                <xdr:row>12</xdr:row>
                <xdr:rowOff>19050</xdr:rowOff>
              </from>
              <to>
                <xdr:col>2</xdr:col>
                <xdr:colOff>1162050</xdr:colOff>
                <xdr:row>12</xdr:row>
                <xdr:rowOff>247650</xdr:rowOff>
              </to>
            </anchor>
          </controlPr>
        </control>
      </mc:Choice>
      <mc:Fallback>
        <control shapeId="4128" r:id="rId76" name="ComboBox23"/>
      </mc:Fallback>
    </mc:AlternateContent>
    <mc:AlternateContent xmlns:mc="http://schemas.openxmlformats.org/markup-compatibility/2006">
      <mc:Choice Requires="x14">
        <control shapeId="4127" r:id="rId78" name="ComboBox22">
          <controlPr defaultSize="0" autoLine="0" linkedCell="C12" listFillRange="ProsessTerrengListe" r:id="rId79">
            <anchor moveWithCells="1">
              <from>
                <xdr:col>2</xdr:col>
                <xdr:colOff>19050</xdr:colOff>
                <xdr:row>11</xdr:row>
                <xdr:rowOff>19050</xdr:rowOff>
              </from>
              <to>
                <xdr:col>2</xdr:col>
                <xdr:colOff>1162050</xdr:colOff>
                <xdr:row>11</xdr:row>
                <xdr:rowOff>247650</xdr:rowOff>
              </to>
            </anchor>
          </controlPr>
        </control>
      </mc:Choice>
      <mc:Fallback>
        <control shapeId="4127" r:id="rId78" name="ComboBox22"/>
      </mc:Fallback>
    </mc:AlternateContent>
    <mc:AlternateContent xmlns:mc="http://schemas.openxmlformats.org/markup-compatibility/2006">
      <mc:Choice Requires="x14">
        <control shapeId="4126" r:id="rId80" name="ComboBox21">
          <controlPr defaultSize="0" autoLine="0" linkedCell="C11" listFillRange="ProsessTerrengListe" r:id="rId81">
            <anchor moveWithCells="1">
              <from>
                <xdr:col>2</xdr:col>
                <xdr:colOff>19050</xdr:colOff>
                <xdr:row>10</xdr:row>
                <xdr:rowOff>19050</xdr:rowOff>
              </from>
              <to>
                <xdr:col>2</xdr:col>
                <xdr:colOff>1162050</xdr:colOff>
                <xdr:row>10</xdr:row>
                <xdr:rowOff>247650</xdr:rowOff>
              </to>
            </anchor>
          </controlPr>
        </control>
      </mc:Choice>
      <mc:Fallback>
        <control shapeId="4126" r:id="rId80" name="ComboBox21"/>
      </mc:Fallback>
    </mc:AlternateContent>
    <mc:AlternateContent xmlns:mc="http://schemas.openxmlformats.org/markup-compatibility/2006">
      <mc:Choice Requires="x14">
        <control shapeId="4125" r:id="rId82" name="ComboBox20">
          <controlPr defaultSize="0" autoLine="0" linkedCell="C10" listFillRange="ProsessTerrengListe" r:id="rId83">
            <anchor moveWithCells="1">
              <from>
                <xdr:col>2</xdr:col>
                <xdr:colOff>19050</xdr:colOff>
                <xdr:row>9</xdr:row>
                <xdr:rowOff>28575</xdr:rowOff>
              </from>
              <to>
                <xdr:col>2</xdr:col>
                <xdr:colOff>1162050</xdr:colOff>
                <xdr:row>9</xdr:row>
                <xdr:rowOff>257175</xdr:rowOff>
              </to>
            </anchor>
          </controlPr>
        </control>
      </mc:Choice>
      <mc:Fallback>
        <control shapeId="4125" r:id="rId82" name="ComboBox20"/>
      </mc:Fallback>
    </mc:AlternateContent>
    <mc:AlternateContent xmlns:mc="http://schemas.openxmlformats.org/markup-compatibility/2006">
      <mc:Choice Requires="x14">
        <control shapeId="4124" r:id="rId84" name="ComboBox19">
          <controlPr defaultSize="0" autoLine="0" linkedCell="C9" listFillRange="ProsessTerrengListe" r:id="rId85">
            <anchor moveWithCells="1">
              <from>
                <xdr:col>2</xdr:col>
                <xdr:colOff>19050</xdr:colOff>
                <xdr:row>8</xdr:row>
                <xdr:rowOff>38100</xdr:rowOff>
              </from>
              <to>
                <xdr:col>2</xdr:col>
                <xdr:colOff>1162050</xdr:colOff>
                <xdr:row>9</xdr:row>
                <xdr:rowOff>0</xdr:rowOff>
              </to>
            </anchor>
          </controlPr>
        </control>
      </mc:Choice>
      <mc:Fallback>
        <control shapeId="4124" r:id="rId84" name="ComboBox19"/>
      </mc:Fallback>
    </mc:AlternateContent>
    <mc:AlternateContent xmlns:mc="http://schemas.openxmlformats.org/markup-compatibility/2006">
      <mc:Choice Requires="x14">
        <control shapeId="4123" r:id="rId86" name="ComboBox18">
          <controlPr defaultSize="0" autoLine="0" linkedCell="C8" listFillRange="ProsessTerrengListe" r:id="rId87">
            <anchor moveWithCells="1">
              <from>
                <xdr:col>2</xdr:col>
                <xdr:colOff>19050</xdr:colOff>
                <xdr:row>7</xdr:row>
                <xdr:rowOff>38100</xdr:rowOff>
              </from>
              <to>
                <xdr:col>2</xdr:col>
                <xdr:colOff>1162050</xdr:colOff>
                <xdr:row>8</xdr:row>
                <xdr:rowOff>0</xdr:rowOff>
              </to>
            </anchor>
          </controlPr>
        </control>
      </mc:Choice>
      <mc:Fallback>
        <control shapeId="4123" r:id="rId86" name="ComboBox18"/>
      </mc:Fallback>
    </mc:AlternateContent>
    <mc:AlternateContent xmlns:mc="http://schemas.openxmlformats.org/markup-compatibility/2006">
      <mc:Choice Requires="x14">
        <control shapeId="4122" r:id="rId88" name="ComboBox17">
          <controlPr defaultSize="0" autoLine="0" linkedCell="C7" listFillRange="ProsessTerrengListe" r:id="rId89">
            <anchor moveWithCells="1">
              <from>
                <xdr:col>2</xdr:col>
                <xdr:colOff>19050</xdr:colOff>
                <xdr:row>6</xdr:row>
                <xdr:rowOff>38100</xdr:rowOff>
              </from>
              <to>
                <xdr:col>2</xdr:col>
                <xdr:colOff>1162050</xdr:colOff>
                <xdr:row>7</xdr:row>
                <xdr:rowOff>0</xdr:rowOff>
              </to>
            </anchor>
          </controlPr>
        </control>
      </mc:Choice>
      <mc:Fallback>
        <control shapeId="4122" r:id="rId88" name="ComboBox17"/>
      </mc:Fallback>
    </mc:AlternateContent>
    <mc:AlternateContent xmlns:mc="http://schemas.openxmlformats.org/markup-compatibility/2006">
      <mc:Choice Requires="x14">
        <control shapeId="4110" r:id="rId90" name="ComboBox5">
          <controlPr locked="0" autoLine="0" linkedCell="E6" listFillRange="Vegkantlunne" r:id="rId91">
            <anchor moveWithCells="1">
              <from>
                <xdr:col>4</xdr:col>
                <xdr:colOff>19050</xdr:colOff>
                <xdr:row>5</xdr:row>
                <xdr:rowOff>28575</xdr:rowOff>
              </from>
              <to>
                <xdr:col>4</xdr:col>
                <xdr:colOff>1171575</xdr:colOff>
                <xdr:row>5</xdr:row>
                <xdr:rowOff>257175</xdr:rowOff>
              </to>
            </anchor>
          </controlPr>
        </control>
      </mc:Choice>
      <mc:Fallback>
        <control shapeId="4110" r:id="rId90" name="ComboBox5"/>
      </mc:Fallback>
    </mc:AlternateContent>
    <mc:AlternateContent xmlns:mc="http://schemas.openxmlformats.org/markup-compatibility/2006">
      <mc:Choice Requires="x14">
        <control shapeId="4109" r:id="rId92" name="ComboBox4">
          <controlPr locked="0" defaultSize="0" autoLine="0" linkedCell="F6" listFillRange="Vegtrans1" r:id="rId93">
            <anchor moveWithCells="1">
              <from>
                <xdr:col>5</xdr:col>
                <xdr:colOff>9525</xdr:colOff>
                <xdr:row>5</xdr:row>
                <xdr:rowOff>28575</xdr:rowOff>
              </from>
              <to>
                <xdr:col>6</xdr:col>
                <xdr:colOff>0</xdr:colOff>
                <xdr:row>5</xdr:row>
                <xdr:rowOff>257175</xdr:rowOff>
              </to>
            </anchor>
          </controlPr>
        </control>
      </mc:Choice>
      <mc:Fallback>
        <control shapeId="4109" r:id="rId92" name="ComboBox4"/>
      </mc:Fallback>
    </mc:AlternateContent>
    <mc:AlternateContent xmlns:mc="http://schemas.openxmlformats.org/markup-compatibility/2006">
      <mc:Choice Requires="x14">
        <control shapeId="4106" r:id="rId94" name="ComboBox2">
          <controlPr defaultSize="0" autoLine="0" linkedCell="C6" listFillRange="ProsessTerrengListe" r:id="rId95">
            <anchor moveWithCells="1">
              <from>
                <xdr:col>2</xdr:col>
                <xdr:colOff>19050</xdr:colOff>
                <xdr:row>5</xdr:row>
                <xdr:rowOff>28575</xdr:rowOff>
              </from>
              <to>
                <xdr:col>2</xdr:col>
                <xdr:colOff>1162050</xdr:colOff>
                <xdr:row>5</xdr:row>
                <xdr:rowOff>257175</xdr:rowOff>
              </to>
            </anchor>
          </controlPr>
        </control>
      </mc:Choice>
      <mc:Fallback>
        <control shapeId="4106" r:id="rId94" name="ComboBox2"/>
      </mc:Fallback>
    </mc:AlternateContent>
    <mc:AlternateContent xmlns:mc="http://schemas.openxmlformats.org/markup-compatibility/2006">
      <mc:Choice Requires="x14">
        <control shapeId="4107" r:id="rId96" name="ComboBox3">
          <controlPr defaultSize="0" autoLine="0" linkedCell="D6" listFillRange="Terrengtransport" r:id="rId97">
            <anchor moveWithCells="1">
              <from>
                <xdr:col>3</xdr:col>
                <xdr:colOff>9525</xdr:colOff>
                <xdr:row>5</xdr:row>
                <xdr:rowOff>28575</xdr:rowOff>
              </from>
              <to>
                <xdr:col>3</xdr:col>
                <xdr:colOff>1152525</xdr:colOff>
                <xdr:row>5</xdr:row>
                <xdr:rowOff>257175</xdr:rowOff>
              </to>
            </anchor>
          </controlPr>
        </control>
      </mc:Choice>
      <mc:Fallback>
        <control shapeId="4107" r:id="rId96" name="ComboBox3"/>
      </mc:Fallback>
    </mc:AlternateContent>
    <mc:AlternateContent xmlns:mc="http://schemas.openxmlformats.org/markup-compatibility/2006">
      <mc:Choice Requires="x14">
        <control shapeId="4111" r:id="rId98" name="ComboBox6">
          <controlPr defaultSize="0" autoLine="0" linkedCell="G6" listFillRange="Termihoggere" r:id="rId99">
            <anchor moveWithCells="1">
              <from>
                <xdr:col>6</xdr:col>
                <xdr:colOff>47625</xdr:colOff>
                <xdr:row>5</xdr:row>
                <xdr:rowOff>28575</xdr:rowOff>
              </from>
              <to>
                <xdr:col>6</xdr:col>
                <xdr:colOff>1190625</xdr:colOff>
                <xdr:row>5</xdr:row>
                <xdr:rowOff>257175</xdr:rowOff>
              </to>
            </anchor>
          </controlPr>
        </control>
      </mc:Choice>
      <mc:Fallback>
        <control shapeId="4111" r:id="rId98" name="ComboBox6"/>
      </mc:Fallback>
    </mc:AlternateContent>
    <mc:AlternateContent xmlns:mc="http://schemas.openxmlformats.org/markup-compatibility/2006">
      <mc:Choice Requires="x14">
        <control shapeId="4112" r:id="rId100" name="ComboBox7">
          <controlPr defaultSize="0" autoLine="0" linkedCell="H6" listFillRange="Vegtrans2" r:id="rId101">
            <anchor moveWithCells="1">
              <from>
                <xdr:col>7</xdr:col>
                <xdr:colOff>0</xdr:colOff>
                <xdr:row>5</xdr:row>
                <xdr:rowOff>28575</xdr:rowOff>
              </from>
              <to>
                <xdr:col>7</xdr:col>
                <xdr:colOff>1143000</xdr:colOff>
                <xdr:row>5</xdr:row>
                <xdr:rowOff>257175</xdr:rowOff>
              </to>
            </anchor>
          </controlPr>
        </control>
      </mc:Choice>
      <mc:Fallback>
        <control shapeId="4112" r:id="rId100" name="ComboBox7"/>
      </mc:Fallback>
    </mc:AlternateContent>
    <mc:AlternateContent xmlns:mc="http://schemas.openxmlformats.org/markup-compatibility/2006">
      <mc:Choice Requires="x14">
        <control shapeId="4158" r:id="rId102" name="ComboBox53">
          <controlPr defaultSize="0" autoLine="0" linkedCell="G7" listFillRange="Termihoggere" r:id="rId103">
            <anchor moveWithCells="1">
              <from>
                <xdr:col>6</xdr:col>
                <xdr:colOff>47625</xdr:colOff>
                <xdr:row>6</xdr:row>
                <xdr:rowOff>38100</xdr:rowOff>
              </from>
              <to>
                <xdr:col>6</xdr:col>
                <xdr:colOff>1190625</xdr:colOff>
                <xdr:row>7</xdr:row>
                <xdr:rowOff>0</xdr:rowOff>
              </to>
            </anchor>
          </controlPr>
        </control>
      </mc:Choice>
      <mc:Fallback>
        <control shapeId="4158" r:id="rId102" name="ComboBox53"/>
      </mc:Fallback>
    </mc:AlternateContent>
    <mc:AlternateContent xmlns:mc="http://schemas.openxmlformats.org/markup-compatibility/2006">
      <mc:Choice Requires="x14">
        <control shapeId="4159" r:id="rId104" name="ComboBox54">
          <controlPr defaultSize="0" autoLine="0" linkedCell="G8" listFillRange="Termihoggere" r:id="rId105">
            <anchor moveWithCells="1">
              <from>
                <xdr:col>6</xdr:col>
                <xdr:colOff>47625</xdr:colOff>
                <xdr:row>7</xdr:row>
                <xdr:rowOff>38100</xdr:rowOff>
              </from>
              <to>
                <xdr:col>6</xdr:col>
                <xdr:colOff>1190625</xdr:colOff>
                <xdr:row>8</xdr:row>
                <xdr:rowOff>0</xdr:rowOff>
              </to>
            </anchor>
          </controlPr>
        </control>
      </mc:Choice>
      <mc:Fallback>
        <control shapeId="4159" r:id="rId104" name="ComboBox54"/>
      </mc:Fallback>
    </mc:AlternateContent>
    <mc:AlternateContent xmlns:mc="http://schemas.openxmlformats.org/markup-compatibility/2006">
      <mc:Choice Requires="x14">
        <control shapeId="4160" r:id="rId106" name="ComboBox55">
          <controlPr defaultSize="0" autoLine="0" linkedCell="G9" listFillRange="Termihoggere" r:id="rId107">
            <anchor moveWithCells="1">
              <from>
                <xdr:col>6</xdr:col>
                <xdr:colOff>47625</xdr:colOff>
                <xdr:row>8</xdr:row>
                <xdr:rowOff>38100</xdr:rowOff>
              </from>
              <to>
                <xdr:col>6</xdr:col>
                <xdr:colOff>1190625</xdr:colOff>
                <xdr:row>9</xdr:row>
                <xdr:rowOff>0</xdr:rowOff>
              </to>
            </anchor>
          </controlPr>
        </control>
      </mc:Choice>
      <mc:Fallback>
        <control shapeId="4160" r:id="rId106" name="ComboBox55"/>
      </mc:Fallback>
    </mc:AlternateContent>
    <mc:AlternateContent xmlns:mc="http://schemas.openxmlformats.org/markup-compatibility/2006">
      <mc:Choice Requires="x14">
        <control shapeId="4161" r:id="rId108" name="ComboBox56">
          <controlPr defaultSize="0" autoLine="0" linkedCell="G10" listFillRange="Termihoggere" r:id="rId109">
            <anchor moveWithCells="1">
              <from>
                <xdr:col>6</xdr:col>
                <xdr:colOff>47625</xdr:colOff>
                <xdr:row>9</xdr:row>
                <xdr:rowOff>28575</xdr:rowOff>
              </from>
              <to>
                <xdr:col>6</xdr:col>
                <xdr:colOff>1190625</xdr:colOff>
                <xdr:row>9</xdr:row>
                <xdr:rowOff>257175</xdr:rowOff>
              </to>
            </anchor>
          </controlPr>
        </control>
      </mc:Choice>
      <mc:Fallback>
        <control shapeId="4161" r:id="rId108" name="ComboBox56"/>
      </mc:Fallback>
    </mc:AlternateContent>
    <mc:AlternateContent xmlns:mc="http://schemas.openxmlformats.org/markup-compatibility/2006">
      <mc:Choice Requires="x14">
        <control shapeId="4162" r:id="rId110" name="ComboBox57">
          <controlPr defaultSize="0" autoLine="0" linkedCell="G11" listFillRange="Termihoggere" r:id="rId111">
            <anchor moveWithCells="1">
              <from>
                <xdr:col>6</xdr:col>
                <xdr:colOff>47625</xdr:colOff>
                <xdr:row>10</xdr:row>
                <xdr:rowOff>19050</xdr:rowOff>
              </from>
              <to>
                <xdr:col>6</xdr:col>
                <xdr:colOff>1190625</xdr:colOff>
                <xdr:row>10</xdr:row>
                <xdr:rowOff>247650</xdr:rowOff>
              </to>
            </anchor>
          </controlPr>
        </control>
      </mc:Choice>
      <mc:Fallback>
        <control shapeId="4162" r:id="rId110" name="ComboBox57"/>
      </mc:Fallback>
    </mc:AlternateContent>
    <mc:AlternateContent xmlns:mc="http://schemas.openxmlformats.org/markup-compatibility/2006">
      <mc:Choice Requires="x14">
        <control shapeId="4163" r:id="rId112" name="ComboBox58">
          <controlPr defaultSize="0" autoLine="0" linkedCell="G12" listFillRange="Termihoggere" r:id="rId113">
            <anchor moveWithCells="1">
              <from>
                <xdr:col>6</xdr:col>
                <xdr:colOff>47625</xdr:colOff>
                <xdr:row>11</xdr:row>
                <xdr:rowOff>19050</xdr:rowOff>
              </from>
              <to>
                <xdr:col>6</xdr:col>
                <xdr:colOff>1190625</xdr:colOff>
                <xdr:row>11</xdr:row>
                <xdr:rowOff>247650</xdr:rowOff>
              </to>
            </anchor>
          </controlPr>
        </control>
      </mc:Choice>
      <mc:Fallback>
        <control shapeId="4163" r:id="rId112" name="ComboBox58"/>
      </mc:Fallback>
    </mc:AlternateContent>
    <mc:AlternateContent xmlns:mc="http://schemas.openxmlformats.org/markup-compatibility/2006">
      <mc:Choice Requires="x14">
        <control shapeId="4164" r:id="rId114" name="ComboBox59">
          <controlPr defaultSize="0" autoLine="0" linkedCell="G13" listFillRange="Termihoggere" r:id="rId115">
            <anchor moveWithCells="1">
              <from>
                <xdr:col>6</xdr:col>
                <xdr:colOff>47625</xdr:colOff>
                <xdr:row>12</xdr:row>
                <xdr:rowOff>19050</xdr:rowOff>
              </from>
              <to>
                <xdr:col>6</xdr:col>
                <xdr:colOff>1190625</xdr:colOff>
                <xdr:row>12</xdr:row>
                <xdr:rowOff>247650</xdr:rowOff>
              </to>
            </anchor>
          </controlPr>
        </control>
      </mc:Choice>
      <mc:Fallback>
        <control shapeId="4164" r:id="rId114" name="ComboBox5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
  <sheetViews>
    <sheetView workbookViewId="0">
      <selection activeCell="C32" sqref="C32"/>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3:B11"/>
  <sheetViews>
    <sheetView workbookViewId="0">
      <selection activeCell="E14" sqref="D14:E14"/>
    </sheetView>
  </sheetViews>
  <sheetFormatPr baseColWidth="10" defaultRowHeight="15" x14ac:dyDescent="0.25"/>
  <sheetData>
    <row r="3" spans="1:2" ht="18" x14ac:dyDescent="0.35">
      <c r="A3" t="s">
        <v>42</v>
      </c>
      <c r="B3" t="s">
        <v>45</v>
      </c>
    </row>
    <row r="4" spans="1:2" ht="18" x14ac:dyDescent="0.35">
      <c r="A4" t="s">
        <v>43</v>
      </c>
      <c r="B4" t="s">
        <v>44</v>
      </c>
    </row>
    <row r="5" spans="1:2" ht="18" x14ac:dyDescent="0.35">
      <c r="A5" t="s">
        <v>279</v>
      </c>
      <c r="B5" t="s">
        <v>281</v>
      </c>
    </row>
    <row r="6" spans="1:2" ht="18" x14ac:dyDescent="0.35">
      <c r="A6" t="s">
        <v>280</v>
      </c>
      <c r="B6" t="s">
        <v>282</v>
      </c>
    </row>
    <row r="7" spans="1:2" x14ac:dyDescent="0.25">
      <c r="A7" t="s">
        <v>41</v>
      </c>
      <c r="B7" t="s">
        <v>283</v>
      </c>
    </row>
    <row r="8" spans="1:2" ht="17.25" x14ac:dyDescent="0.25">
      <c r="A8" t="s">
        <v>256</v>
      </c>
      <c r="B8" t="s">
        <v>257</v>
      </c>
    </row>
    <row r="9" spans="1:2" ht="17.25" x14ac:dyDescent="0.25">
      <c r="A9" t="s">
        <v>258</v>
      </c>
      <c r="B9" t="s">
        <v>259</v>
      </c>
    </row>
    <row r="10" spans="1:2" x14ac:dyDescent="0.25">
      <c r="A10" t="s">
        <v>23</v>
      </c>
      <c r="B10" t="s">
        <v>260</v>
      </c>
    </row>
    <row r="11" spans="1:2" x14ac:dyDescent="0.25">
      <c r="A11" t="s">
        <v>261</v>
      </c>
      <c r="B11" t="s">
        <v>262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dimension ref="A1:U43"/>
  <sheetViews>
    <sheetView workbookViewId="0">
      <pane ySplit="1" topLeftCell="A2" activePane="bottomLeft" state="frozen"/>
      <selection pane="bottomLeft" activeCell="G13" sqref="G13"/>
    </sheetView>
  </sheetViews>
  <sheetFormatPr baseColWidth="10" defaultRowHeight="15" x14ac:dyDescent="0.25"/>
  <cols>
    <col min="1" max="1" width="44.140625" customWidth="1"/>
    <col min="2" max="2" width="36.85546875" customWidth="1"/>
    <col min="4" max="4" width="11.5703125" bestFit="1" customWidth="1"/>
    <col min="5" max="5" width="8.28515625" style="12" bestFit="1" customWidth="1"/>
    <col min="6" max="7" width="11.5703125" style="12" bestFit="1" customWidth="1"/>
    <col min="10" max="10" width="9.42578125" customWidth="1"/>
    <col min="11" max="11" width="9.85546875" customWidth="1"/>
    <col min="12" max="12" width="9" customWidth="1"/>
    <col min="13" max="13" width="8.7109375" customWidth="1"/>
    <col min="14" max="14" width="7.7109375" customWidth="1"/>
  </cols>
  <sheetData>
    <row r="1" spans="1:21" x14ac:dyDescent="0.25">
      <c r="A1" s="4"/>
      <c r="B1" s="4"/>
      <c r="C1" s="4"/>
      <c r="D1" s="4" t="s">
        <v>15</v>
      </c>
      <c r="E1" s="11" t="s">
        <v>49</v>
      </c>
      <c r="F1" s="11" t="s">
        <v>0</v>
      </c>
      <c r="G1" s="11" t="s">
        <v>22</v>
      </c>
      <c r="U1" s="4" t="s">
        <v>299</v>
      </c>
    </row>
    <row r="2" spans="1:21" ht="18" thickBot="1" x14ac:dyDescent="0.3">
      <c r="A2" s="4" t="s">
        <v>20</v>
      </c>
      <c r="B2" s="55" t="s">
        <v>377</v>
      </c>
      <c r="D2" s="26">
        <f>D3*D4</f>
        <v>200</v>
      </c>
      <c r="E2" s="12">
        <f>E4*E3</f>
        <v>1000</v>
      </c>
      <c r="F2" s="12">
        <f>F4*F3</f>
        <v>100</v>
      </c>
      <c r="G2" s="12">
        <f>G4*G3</f>
        <v>20000</v>
      </c>
      <c r="I2" s="4" t="s">
        <v>365</v>
      </c>
      <c r="J2" s="4"/>
      <c r="K2" s="4"/>
      <c r="L2" s="4"/>
      <c r="M2" s="4"/>
      <c r="U2" s="4" t="str">
        <f>ADDRESS(ROW(),4,1,1)</f>
        <v>$D$2</v>
      </c>
    </row>
    <row r="3" spans="1:21" ht="16.5" thickBot="1" x14ac:dyDescent="0.3">
      <c r="B3" s="55" t="s">
        <v>378</v>
      </c>
      <c r="D3" s="36">
        <v>10</v>
      </c>
      <c r="E3" s="12">
        <v>100</v>
      </c>
      <c r="F3" s="12">
        <v>20</v>
      </c>
      <c r="G3" s="12">
        <v>500</v>
      </c>
      <c r="I3" s="6"/>
      <c r="J3" s="7" t="s">
        <v>24</v>
      </c>
      <c r="K3" s="7" t="s">
        <v>25</v>
      </c>
      <c r="L3" s="7" t="s">
        <v>26</v>
      </c>
      <c r="M3" s="7" t="s">
        <v>27</v>
      </c>
      <c r="N3" s="7" t="s">
        <v>369</v>
      </c>
      <c r="O3" s="7" t="str">
        <f ca="1">CONCATENATE("t (F=", CELL("innhold",N4)*100,"%)")</f>
        <v>t (F=40%)</v>
      </c>
      <c r="U3" s="4" t="str">
        <f t="shared" ref="U3:U35" si="0">ADDRESS(ROW(),4)</f>
        <v>$D$3</v>
      </c>
    </row>
    <row r="4" spans="1:21" s="4" customFormat="1" ht="18" thickBot="1" x14ac:dyDescent="0.3">
      <c r="B4" s="55" t="s">
        <v>48</v>
      </c>
      <c r="C4"/>
      <c r="D4" s="36">
        <v>20</v>
      </c>
      <c r="E4" s="12">
        <v>10</v>
      </c>
      <c r="F4" s="12">
        <v>5</v>
      </c>
      <c r="G4" s="12">
        <v>40</v>
      </c>
      <c r="I4" s="8" t="s">
        <v>28</v>
      </c>
      <c r="J4" s="9">
        <v>1</v>
      </c>
      <c r="K4" s="9">
        <f>1/0.4</f>
        <v>2.5</v>
      </c>
      <c r="L4" s="9">
        <f>0.4*1</f>
        <v>0.4</v>
      </c>
      <c r="M4" s="10">
        <f>L4*(5.3-(0.7*(0.35/(1-0.35))))</f>
        <v>1.9692307692307693</v>
      </c>
      <c r="N4" s="171">
        <v>0.4</v>
      </c>
      <c r="O4" s="7">
        <f>L4/(1-N4)</f>
        <v>0.66666666666666674</v>
      </c>
      <c r="U4" s="4" t="str">
        <f t="shared" si="0"/>
        <v>$D$4</v>
      </c>
    </row>
    <row r="5" spans="1:21" s="4" customFormat="1" ht="16.5" thickBot="1" x14ac:dyDescent="0.3">
      <c r="A5"/>
      <c r="B5" s="55" t="s">
        <v>298</v>
      </c>
      <c r="C5"/>
      <c r="D5" s="36">
        <v>300</v>
      </c>
      <c r="E5" s="12">
        <v>300</v>
      </c>
      <c r="F5" s="12">
        <v>30</v>
      </c>
      <c r="G5" s="12">
        <v>1000</v>
      </c>
      <c r="I5" s="6" t="s">
        <v>29</v>
      </c>
      <c r="J5" s="9">
        <f>K5*0.4</f>
        <v>0.4</v>
      </c>
      <c r="K5" s="9">
        <v>1</v>
      </c>
      <c r="L5" s="9">
        <f>K5*0.4*0.4</f>
        <v>0.16000000000000003</v>
      </c>
      <c r="M5" s="10">
        <f>L5*(5.3-(0.7*(0.35/(1-0.35))))</f>
        <v>0.78769230769230791</v>
      </c>
      <c r="N5" s="171">
        <f>N4</f>
        <v>0.4</v>
      </c>
      <c r="O5" s="7">
        <f>L5/(1-N5)</f>
        <v>0.26666666666666672</v>
      </c>
      <c r="U5" s="4" t="str">
        <f t="shared" si="0"/>
        <v>$D$5</v>
      </c>
    </row>
    <row r="6" spans="1:21" s="4" customFormat="1" ht="15.75" thickBot="1" x14ac:dyDescent="0.3">
      <c r="A6"/>
      <c r="B6" s="55" t="s">
        <v>1</v>
      </c>
      <c r="C6"/>
      <c r="D6" s="36">
        <v>50</v>
      </c>
      <c r="E6" s="12">
        <v>50</v>
      </c>
      <c r="F6" s="12">
        <v>5</v>
      </c>
      <c r="G6" s="12">
        <v>130</v>
      </c>
      <c r="I6" s="8" t="s">
        <v>30</v>
      </c>
      <c r="J6" s="9">
        <f>J4/L4</f>
        <v>2.5</v>
      </c>
      <c r="K6" s="9">
        <f>L6/L5</f>
        <v>6.2499999999999991</v>
      </c>
      <c r="L6" s="9">
        <v>1</v>
      </c>
      <c r="M6" s="10">
        <f>L6*(5.3-(0.7*(0.35/(1-0.35))))</f>
        <v>4.9230769230769234</v>
      </c>
      <c r="N6" s="171">
        <f>N5</f>
        <v>0.4</v>
      </c>
      <c r="O6" s="7">
        <f>L6/(1-N6)</f>
        <v>1.6666666666666667</v>
      </c>
      <c r="U6" s="4" t="str">
        <f t="shared" si="0"/>
        <v>$D$6</v>
      </c>
    </row>
    <row r="7" spans="1:21" ht="16.5" thickBot="1" x14ac:dyDescent="0.3">
      <c r="B7" s="55" t="s">
        <v>2</v>
      </c>
      <c r="D7" s="36">
        <v>15</v>
      </c>
      <c r="E7" s="12">
        <v>15</v>
      </c>
      <c r="F7" s="12">
        <v>1</v>
      </c>
      <c r="G7" s="12">
        <v>40</v>
      </c>
      <c r="I7" s="8" t="s">
        <v>31</v>
      </c>
      <c r="J7" s="10">
        <f>J4/M4</f>
        <v>0.5078125</v>
      </c>
      <c r="K7" s="10">
        <f>M7/M5</f>
        <v>1.2695312499999996</v>
      </c>
      <c r="L7" s="86">
        <f>M7/M6</f>
        <v>0.203125</v>
      </c>
      <c r="M7" s="85">
        <v>1</v>
      </c>
      <c r="N7" s="171">
        <f>N6</f>
        <v>0.4</v>
      </c>
      <c r="O7" s="7">
        <f>L7/(1-N7)</f>
        <v>0.33854166666666669</v>
      </c>
      <c r="U7" s="4" t="str">
        <f t="shared" si="0"/>
        <v>$D$7</v>
      </c>
    </row>
    <row r="8" spans="1:21" x14ac:dyDescent="0.25">
      <c r="A8" s="87"/>
      <c r="B8" s="97" t="s">
        <v>3</v>
      </c>
      <c r="C8" s="87"/>
      <c r="D8" s="88">
        <v>65</v>
      </c>
      <c r="E8" s="89">
        <v>60</v>
      </c>
      <c r="F8" s="89">
        <v>5</v>
      </c>
      <c r="G8" s="89">
        <v>130</v>
      </c>
      <c r="U8" s="4" t="str">
        <f t="shared" si="0"/>
        <v>$D$8</v>
      </c>
    </row>
    <row r="9" spans="1:21" x14ac:dyDescent="0.25">
      <c r="A9" s="4" t="s">
        <v>16</v>
      </c>
      <c r="B9" s="55" t="s">
        <v>39</v>
      </c>
      <c r="D9" s="36">
        <v>170</v>
      </c>
      <c r="E9" s="12">
        <v>160</v>
      </c>
      <c r="F9" s="12">
        <v>158.5</v>
      </c>
      <c r="G9" s="12">
        <v>178</v>
      </c>
      <c r="U9" s="4" t="str">
        <f t="shared" si="0"/>
        <v>$D$9</v>
      </c>
    </row>
    <row r="10" spans="1:21" x14ac:dyDescent="0.25">
      <c r="A10" s="4"/>
      <c r="B10" s="55" t="s">
        <v>329</v>
      </c>
      <c r="D10" s="36">
        <v>1750</v>
      </c>
      <c r="E10" s="12">
        <v>1750</v>
      </c>
      <c r="F10" s="12">
        <v>1695</v>
      </c>
      <c r="G10" s="12">
        <v>1750</v>
      </c>
      <c r="U10" s="4"/>
    </row>
    <row r="11" spans="1:21" ht="35.25" customHeight="1" x14ac:dyDescent="0.25">
      <c r="B11" s="55" t="s">
        <v>50</v>
      </c>
      <c r="D11" s="40">
        <v>0.05</v>
      </c>
      <c r="E11" s="13">
        <v>0.05</v>
      </c>
      <c r="F11" s="13">
        <v>0</v>
      </c>
      <c r="G11" s="13">
        <v>0.4</v>
      </c>
      <c r="I11" s="170" t="s">
        <v>371</v>
      </c>
      <c r="U11" s="4" t="str">
        <f t="shared" si="0"/>
        <v>$D$11</v>
      </c>
    </row>
    <row r="12" spans="1:21" x14ac:dyDescent="0.25">
      <c r="B12" s="55" t="s">
        <v>12</v>
      </c>
      <c r="D12" s="83">
        <v>0.10199999999999999</v>
      </c>
      <c r="E12" s="15">
        <v>0.10199999999999999</v>
      </c>
      <c r="F12" s="15">
        <v>0.10199999999999999</v>
      </c>
      <c r="G12" s="15">
        <v>0.14299999999999999</v>
      </c>
      <c r="I12" t="s">
        <v>366</v>
      </c>
      <c r="L12" t="s">
        <v>372</v>
      </c>
      <c r="M12" t="str">
        <f xml:space="preserve"> "t* (100-F%)/100"</f>
        <v>t* (100-F%)/100</v>
      </c>
      <c r="U12" s="4" t="str">
        <f t="shared" si="0"/>
        <v>$D$12</v>
      </c>
    </row>
    <row r="13" spans="1:21" x14ac:dyDescent="0.25">
      <c r="B13" s="55" t="s">
        <v>17</v>
      </c>
      <c r="D13" s="43">
        <v>82122</v>
      </c>
      <c r="E13" s="14">
        <v>82122</v>
      </c>
      <c r="F13" s="14">
        <v>82122</v>
      </c>
      <c r="G13" s="14">
        <v>82122</v>
      </c>
      <c r="I13" t="s">
        <v>370</v>
      </c>
      <c r="L13" t="s">
        <v>373</v>
      </c>
      <c r="M13" t="str">
        <f>" t ts*100 / (100 - F%))"</f>
        <v xml:space="preserve"> t ts*100 / (100 - F%))</v>
      </c>
      <c r="U13" s="4" t="str">
        <f t="shared" si="0"/>
        <v>$D$13</v>
      </c>
    </row>
    <row r="14" spans="1:21" x14ac:dyDescent="0.25">
      <c r="B14" s="55" t="s">
        <v>13</v>
      </c>
      <c r="D14" s="40">
        <v>0.02</v>
      </c>
      <c r="E14" s="13">
        <v>0.02</v>
      </c>
      <c r="F14" s="13">
        <v>0.02</v>
      </c>
      <c r="G14" s="13">
        <v>0.08</v>
      </c>
      <c r="I14" t="s">
        <v>367</v>
      </c>
      <c r="L14" t="s">
        <v>374</v>
      </c>
      <c r="M14" t="str">
        <f>"t *(100-F%)/100 * (5,3-(0,7*(F%/(100-F%))))"</f>
        <v>t *(100-F%)/100 * (5,3-(0,7*(F%/(100-F%))))</v>
      </c>
      <c r="U14" s="4" t="str">
        <f t="shared" si="0"/>
        <v>$D$14</v>
      </c>
    </row>
    <row r="15" spans="1:21" x14ac:dyDescent="0.25">
      <c r="B15" s="55" t="s">
        <v>14</v>
      </c>
      <c r="D15" s="83">
        <v>0.14099999999999999</v>
      </c>
      <c r="E15" s="15">
        <v>0.14099999999999999</v>
      </c>
      <c r="F15" s="15">
        <v>5.0999999999999997E-2</v>
      </c>
      <c r="G15" s="15">
        <v>0.14099999999999999</v>
      </c>
      <c r="I15" t="s">
        <v>368</v>
      </c>
      <c r="L15" t="s">
        <v>374</v>
      </c>
      <c r="M15" t="str">
        <f>"t ts * (5,3-(0,7*(F%/(100-F%))))"</f>
        <v>t ts * (5,3-(0,7*(F%/(100-F%))))</v>
      </c>
      <c r="U15" s="4" t="str">
        <f t="shared" si="0"/>
        <v>$D$15</v>
      </c>
    </row>
    <row r="16" spans="1:21" x14ac:dyDescent="0.25">
      <c r="B16" s="55" t="s">
        <v>332</v>
      </c>
      <c r="D16" s="84">
        <v>2000</v>
      </c>
      <c r="E16" s="16">
        <v>2000</v>
      </c>
      <c r="F16" s="16">
        <v>2000</v>
      </c>
      <c r="G16" s="16">
        <v>5000</v>
      </c>
      <c r="U16" s="4" t="str">
        <f>ADDRESS(ROW(),4)</f>
        <v>$D$16</v>
      </c>
    </row>
    <row r="17" spans="1:21" ht="31.5" customHeight="1" x14ac:dyDescent="0.25">
      <c r="B17" s="55" t="s">
        <v>84</v>
      </c>
      <c r="D17" s="40">
        <v>0.1</v>
      </c>
      <c r="E17" s="13">
        <v>0.1</v>
      </c>
      <c r="F17" s="13">
        <v>0.1</v>
      </c>
      <c r="G17" s="13">
        <v>0.1</v>
      </c>
      <c r="U17" s="4" t="str">
        <f t="shared" si="0"/>
        <v>$D$17</v>
      </c>
    </row>
    <row r="18" spans="1:21" ht="17.25" customHeight="1" x14ac:dyDescent="0.25">
      <c r="B18" s="55" t="s">
        <v>330</v>
      </c>
      <c r="D18" s="108">
        <f>((D9*D10*(1+D11))*(1+D12)+(((D9*D10*D11)*(1+D12)-D13)*D14))*(1+D17)*(1+D15)+D16</f>
        <v>432402.2242905001</v>
      </c>
      <c r="E18" s="109">
        <f>((E9*E10*(1+E11))*(1+E12)+(((E9*E10*E11)*(1+E12)-E13)*E14))*(1+E17)*(1+E15)+E16</f>
        <v>406963.18601200002</v>
      </c>
      <c r="F18" s="109">
        <f>((F9*F10*(1+F11))*(1+F12)+(((F9*F10*F11)*(1+F12)-F13)*F14))*(1+F17)*(1+F15)+F16</f>
        <v>342376.79431249999</v>
      </c>
      <c r="G18" s="109">
        <f>((G9*G10*(1+G11))*(1+G12)+(((G9*G10*G11)*(1+G12)-G13)*G14))*(1+G17)*(1+G15)+G16</f>
        <v>636674.21341640013</v>
      </c>
      <c r="U18" s="4" t="str">
        <f t="shared" si="0"/>
        <v>$D$18</v>
      </c>
    </row>
    <row r="19" spans="1:21" x14ac:dyDescent="0.25">
      <c r="B19" s="55" t="s">
        <v>331</v>
      </c>
      <c r="D19" s="108">
        <f>D18/D10</f>
        <v>247.08698530885721</v>
      </c>
      <c r="E19" s="109">
        <f>E18/E10</f>
        <v>232.55039200685715</v>
      </c>
      <c r="F19" s="109">
        <f>F18/F10</f>
        <v>201.9922090339233</v>
      </c>
      <c r="G19" s="109">
        <f>G18/G10</f>
        <v>363.81383623794295</v>
      </c>
    </row>
    <row r="20" spans="1:21" ht="30" x14ac:dyDescent="0.25">
      <c r="B20" s="55" t="s">
        <v>40</v>
      </c>
      <c r="D20" s="84">
        <v>3000</v>
      </c>
      <c r="E20" s="16">
        <v>3000</v>
      </c>
      <c r="F20" s="16">
        <v>3000</v>
      </c>
      <c r="G20" s="16">
        <v>3000</v>
      </c>
    </row>
    <row r="21" spans="1:21" x14ac:dyDescent="0.25">
      <c r="A21" s="90"/>
      <c r="B21" s="98" t="s">
        <v>4</v>
      </c>
      <c r="C21" s="90"/>
      <c r="D21" s="91">
        <v>3.2</v>
      </c>
      <c r="E21" s="92">
        <v>3.2</v>
      </c>
      <c r="F21" s="92">
        <v>3.2</v>
      </c>
      <c r="G21" s="92">
        <v>3.5</v>
      </c>
      <c r="U21" s="4" t="str">
        <f t="shared" si="0"/>
        <v>$D$21</v>
      </c>
    </row>
    <row r="22" spans="1:21" x14ac:dyDescent="0.25">
      <c r="A22" s="4" t="s">
        <v>21</v>
      </c>
      <c r="B22" s="55" t="s">
        <v>19</v>
      </c>
      <c r="D22" s="40">
        <v>0.05</v>
      </c>
      <c r="E22" s="13">
        <v>0.05</v>
      </c>
      <c r="F22" s="13">
        <v>0.02</v>
      </c>
      <c r="G22" s="13">
        <v>0.08</v>
      </c>
      <c r="U22" s="4" t="str">
        <f t="shared" si="0"/>
        <v>$D$22</v>
      </c>
    </row>
    <row r="23" spans="1:21" x14ac:dyDescent="0.25">
      <c r="A23" s="4"/>
      <c r="B23" s="55"/>
      <c r="D23" s="40"/>
      <c r="E23" s="13"/>
      <c r="F23" s="13"/>
      <c r="G23" s="13"/>
      <c r="U23" s="4"/>
    </row>
    <row r="24" spans="1:21" x14ac:dyDescent="0.25">
      <c r="A24" s="90"/>
      <c r="B24" s="98" t="s">
        <v>18</v>
      </c>
      <c r="C24" s="90"/>
      <c r="D24" s="93">
        <v>0.1</v>
      </c>
      <c r="E24" s="94">
        <v>0.1</v>
      </c>
      <c r="F24" s="94">
        <v>0.03</v>
      </c>
      <c r="G24" s="94">
        <v>0.12</v>
      </c>
      <c r="U24" s="4" t="str">
        <f t="shared" si="0"/>
        <v>$D$24</v>
      </c>
    </row>
    <row r="25" spans="1:21" x14ac:dyDescent="0.25">
      <c r="A25" s="4" t="s">
        <v>33</v>
      </c>
      <c r="B25" s="55" t="s">
        <v>34</v>
      </c>
      <c r="D25" s="36">
        <v>9</v>
      </c>
      <c r="E25" s="12">
        <v>9</v>
      </c>
      <c r="F25" s="12">
        <v>8</v>
      </c>
      <c r="G25" s="12">
        <v>10</v>
      </c>
      <c r="U25" s="4" t="str">
        <f t="shared" si="0"/>
        <v>$D$25</v>
      </c>
    </row>
    <row r="26" spans="1:21" x14ac:dyDescent="0.25">
      <c r="A26" s="90"/>
      <c r="B26" s="98" t="s">
        <v>35</v>
      </c>
      <c r="C26" s="90"/>
      <c r="D26" s="91">
        <v>12</v>
      </c>
      <c r="E26" s="95">
        <v>12</v>
      </c>
      <c r="F26" s="95">
        <v>9</v>
      </c>
      <c r="G26" s="95">
        <v>14</v>
      </c>
      <c r="U26" s="4" t="str">
        <f t="shared" si="0"/>
        <v>$D$26</v>
      </c>
    </row>
    <row r="27" spans="1:21" ht="30" x14ac:dyDescent="0.25">
      <c r="A27" s="4" t="s">
        <v>123</v>
      </c>
      <c r="B27" s="55" t="s">
        <v>126</v>
      </c>
      <c r="D27" s="36">
        <v>0.4</v>
      </c>
      <c r="E27" s="12">
        <v>0.4</v>
      </c>
      <c r="F27" s="12">
        <v>0.5</v>
      </c>
      <c r="G27" s="12">
        <v>0.3</v>
      </c>
      <c r="U27" s="4" t="str">
        <f t="shared" si="0"/>
        <v>$D$27</v>
      </c>
    </row>
    <row r="28" spans="1:21" ht="30" x14ac:dyDescent="0.25">
      <c r="B28" s="55" t="s">
        <v>124</v>
      </c>
      <c r="D28" s="36">
        <v>0.2</v>
      </c>
      <c r="E28" s="12">
        <v>0.2</v>
      </c>
      <c r="F28" s="12">
        <v>0.15</v>
      </c>
      <c r="G28" s="12">
        <v>0.25</v>
      </c>
      <c r="U28" s="4" t="str">
        <f t="shared" si="0"/>
        <v>$D$28</v>
      </c>
    </row>
    <row r="29" spans="1:21" x14ac:dyDescent="0.25">
      <c r="B29" s="55" t="s">
        <v>125</v>
      </c>
      <c r="D29" s="36">
        <v>0.22</v>
      </c>
      <c r="E29" s="12">
        <v>0.22</v>
      </c>
      <c r="F29" s="12">
        <v>0.17</v>
      </c>
      <c r="G29" s="12">
        <v>0.28000000000000003</v>
      </c>
      <c r="U29" s="4" t="str">
        <f t="shared" si="0"/>
        <v>$D$29</v>
      </c>
    </row>
    <row r="30" spans="1:21" ht="30" x14ac:dyDescent="0.25">
      <c r="B30" s="55" t="s">
        <v>325</v>
      </c>
      <c r="D30" s="36">
        <v>0.6</v>
      </c>
      <c r="E30" s="12">
        <v>0.6</v>
      </c>
      <c r="F30" s="12">
        <v>0.5</v>
      </c>
      <c r="G30" s="12">
        <v>0.65</v>
      </c>
    </row>
    <row r="31" spans="1:21" x14ac:dyDescent="0.25">
      <c r="B31" s="55" t="s">
        <v>139</v>
      </c>
      <c r="D31" s="36">
        <v>0.4</v>
      </c>
      <c r="E31" s="12">
        <v>0.4</v>
      </c>
      <c r="F31" s="12">
        <v>0.35</v>
      </c>
      <c r="G31" s="12">
        <v>0.45</v>
      </c>
      <c r="U31" s="4" t="str">
        <f t="shared" si="0"/>
        <v>$D$31</v>
      </c>
    </row>
    <row r="32" spans="1:21" ht="30" x14ac:dyDescent="0.25">
      <c r="A32" s="90"/>
      <c r="B32" s="98" t="s">
        <v>306</v>
      </c>
      <c r="C32" s="90"/>
      <c r="D32" s="91">
        <v>0.3</v>
      </c>
      <c r="E32" s="95">
        <v>0.3</v>
      </c>
      <c r="F32" s="95">
        <v>0.3</v>
      </c>
      <c r="G32" s="95">
        <v>0.3</v>
      </c>
      <c r="U32" s="4" t="str">
        <f t="shared" si="0"/>
        <v>$D$32</v>
      </c>
    </row>
    <row r="33" spans="1:21" x14ac:dyDescent="0.25">
      <c r="A33" s="4" t="s">
        <v>140</v>
      </c>
      <c r="B33" s="55" t="s">
        <v>141</v>
      </c>
      <c r="D33" s="44">
        <v>0.5</v>
      </c>
      <c r="E33" s="50">
        <v>0.5</v>
      </c>
      <c r="F33" s="50">
        <v>0.25</v>
      </c>
      <c r="G33" s="50">
        <v>0.55000000000000004</v>
      </c>
      <c r="U33" s="4" t="str">
        <f t="shared" si="0"/>
        <v>$D$33</v>
      </c>
    </row>
    <row r="34" spans="1:21" x14ac:dyDescent="0.25">
      <c r="B34" s="55" t="s">
        <v>307</v>
      </c>
      <c r="D34" s="44">
        <v>0.4</v>
      </c>
      <c r="E34" s="50">
        <v>0.4</v>
      </c>
      <c r="F34" s="50">
        <v>0.25</v>
      </c>
      <c r="G34" s="50">
        <v>0.55000000000000004</v>
      </c>
      <c r="U34" s="4" t="str">
        <f t="shared" si="0"/>
        <v>$D$34</v>
      </c>
    </row>
    <row r="35" spans="1:21" x14ac:dyDescent="0.25">
      <c r="B35" s="96" t="s">
        <v>308</v>
      </c>
      <c r="D35" s="44">
        <v>0.35</v>
      </c>
      <c r="E35" s="50">
        <v>0.35</v>
      </c>
      <c r="F35" s="50">
        <v>0.25</v>
      </c>
      <c r="G35" s="50">
        <v>0.55000000000000004</v>
      </c>
      <c r="I35" s="186"/>
      <c r="J35" s="99"/>
      <c r="K35" s="99"/>
      <c r="L35" s="99"/>
      <c r="M35" s="187"/>
      <c r="N35" s="67"/>
      <c r="U35" s="4" t="str">
        <f t="shared" si="0"/>
        <v>$D$35</v>
      </c>
    </row>
    <row r="36" spans="1:21" x14ac:dyDescent="0.25">
      <c r="I36" s="99"/>
      <c r="J36" s="186"/>
      <c r="K36" s="186"/>
      <c r="L36" s="186"/>
      <c r="M36" s="188"/>
      <c r="N36" s="67"/>
    </row>
    <row r="37" spans="1:21" x14ac:dyDescent="0.25">
      <c r="I37" s="99"/>
      <c r="J37" s="186"/>
      <c r="K37" s="186"/>
      <c r="L37" s="186"/>
      <c r="M37" s="188"/>
      <c r="N37" s="67"/>
    </row>
    <row r="38" spans="1:21" x14ac:dyDescent="0.25">
      <c r="I38" s="99"/>
      <c r="J38" s="186"/>
      <c r="K38" s="186"/>
      <c r="L38" s="186"/>
      <c r="M38" s="188"/>
      <c r="N38" s="67"/>
    </row>
    <row r="39" spans="1:21" x14ac:dyDescent="0.25">
      <c r="I39" s="99"/>
      <c r="J39" s="100"/>
      <c r="K39" s="100"/>
      <c r="L39" s="101"/>
      <c r="M39" s="67"/>
      <c r="N39" s="67"/>
    </row>
    <row r="40" spans="1:21" x14ac:dyDescent="0.25">
      <c r="I40" s="67"/>
      <c r="J40" s="67"/>
      <c r="K40" s="67"/>
      <c r="L40" s="67"/>
      <c r="M40" s="67"/>
      <c r="N40" s="67"/>
    </row>
    <row r="41" spans="1:21" x14ac:dyDescent="0.25">
      <c r="A41" t="s">
        <v>385</v>
      </c>
    </row>
    <row r="43" spans="1:21" x14ac:dyDescent="0.25">
      <c r="A43" t="s">
        <v>386</v>
      </c>
      <c r="B43" t="str">
        <f>B3</f>
        <v>Areal per oppdrag, dekar</v>
      </c>
    </row>
  </sheetData>
  <protectedRanges>
    <protectedRange sqref="D50:D1048576 D31:D35 D20:D29 D1:D17" name="Område1"/>
  </protectedRanges>
  <scenarios current="0" show="0" sqref="I19">
    <scenario name="Objektstørrelse" locked="1" count="1" user="Helmer Belbo" comment="Opprettet av Helmer Belbo den 02.11.2012_x000a_Endret av Helmer Belbo den 02.11.2012_x000a_Endret av Helmer Belbo den 29.04.2015">
      <inputCells r="D3" val="10"/>
    </scenario>
  </scenario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1">
    <outlinePr summaryRight="0"/>
  </sheetPr>
  <dimension ref="A1:Z127"/>
  <sheetViews>
    <sheetView zoomScaleNormal="100" workbookViewId="0">
      <pane ySplit="1" topLeftCell="A59" activePane="bottomLeft" state="frozen"/>
      <selection pane="bottomLeft" activeCell="F20" sqref="F20"/>
    </sheetView>
  </sheetViews>
  <sheetFormatPr baseColWidth="10" defaultRowHeight="15" outlineLevelRow="2" x14ac:dyDescent="0.25"/>
  <cols>
    <col min="1" max="1" width="51.5703125" customWidth="1"/>
    <col min="2" max="2" width="17.140625" bestFit="1" customWidth="1"/>
    <col min="3" max="3" width="15.85546875" customWidth="1"/>
    <col min="4" max="4" width="16.28515625" bestFit="1" customWidth="1"/>
  </cols>
  <sheetData>
    <row r="1" spans="1:26" ht="18" thickBot="1" x14ac:dyDescent="0.35">
      <c r="A1" s="2" t="s">
        <v>51</v>
      </c>
      <c r="B1" s="2" t="s">
        <v>269</v>
      </c>
      <c r="C1" s="2" t="s">
        <v>270</v>
      </c>
      <c r="D1" s="2" t="s">
        <v>271</v>
      </c>
      <c r="E1" s="160" t="s">
        <v>362</v>
      </c>
      <c r="F1" s="160" t="s">
        <v>362</v>
      </c>
      <c r="G1" s="160" t="s">
        <v>362</v>
      </c>
      <c r="H1" s="189" t="s">
        <v>196</v>
      </c>
      <c r="Y1" t="s">
        <v>121</v>
      </c>
    </row>
    <row r="2" spans="1:26" ht="15.75" outlineLevel="1" thickTop="1" x14ac:dyDescent="0.25">
      <c r="A2" s="36" t="s">
        <v>10</v>
      </c>
      <c r="B2" s="37">
        <v>130</v>
      </c>
      <c r="C2" s="37">
        <v>150</v>
      </c>
      <c r="D2" s="37">
        <v>170</v>
      </c>
      <c r="E2" s="36"/>
      <c r="F2" s="37"/>
      <c r="G2" s="37"/>
      <c r="H2" s="163"/>
      <c r="Y2" t="str">
        <f>B1</f>
        <v>Liten hogtsmaskin</v>
      </c>
      <c r="Z2" t="str">
        <f>IFERROR(INDEX(Y$2:Y$8, MATCH(0,INDEX(COUNTIF(Z$1:Z1, Y$2:Y$8), 0,0),0)),"")</f>
        <v>Liten hogtsmaskin</v>
      </c>
    </row>
    <row r="3" spans="1:26" outlineLevel="1" x14ac:dyDescent="0.25">
      <c r="A3" s="36" t="s">
        <v>115</v>
      </c>
      <c r="B3" s="37">
        <v>13</v>
      </c>
      <c r="C3" s="37">
        <v>15</v>
      </c>
      <c r="D3" s="37">
        <v>21</v>
      </c>
      <c r="E3" s="36"/>
      <c r="F3" s="37"/>
      <c r="G3" s="37"/>
      <c r="H3" s="163"/>
      <c r="Y3" t="str">
        <f>C1</f>
        <v>Mellom hogstmaskin</v>
      </c>
      <c r="Z3" t="str">
        <f>IFERROR(INDEX(Y$2:Y$8, MATCH(0,INDEX(COUNTIF(Z$1:Z2, Y$2:Y$8), 0,0),0)),"")</f>
        <v>Mellom hogstmaskin</v>
      </c>
    </row>
    <row r="4" spans="1:26" outlineLevel="1" x14ac:dyDescent="0.25">
      <c r="A4" s="36" t="s">
        <v>9</v>
      </c>
      <c r="B4" s="37" t="s">
        <v>23</v>
      </c>
      <c r="C4" s="37" t="s">
        <v>11</v>
      </c>
      <c r="D4" s="37" t="s">
        <v>11</v>
      </c>
      <c r="E4" s="36" t="s">
        <v>118</v>
      </c>
      <c r="F4" s="37" t="s">
        <v>118</v>
      </c>
      <c r="G4" s="37" t="s">
        <v>118</v>
      </c>
      <c r="H4" s="163"/>
      <c r="Y4" t="str">
        <f>D1</f>
        <v>Stor hogstmaskin</v>
      </c>
      <c r="Z4" t="str">
        <f>IFERROR(INDEX(Y$2:Y$8, MATCH(0,INDEX(COUNTIF(Z$1:Z3, Y$2:Y$8), 0,0),0)),"")</f>
        <v>Stor hogstmaskin</v>
      </c>
    </row>
    <row r="5" spans="1:26" outlineLevel="1" x14ac:dyDescent="0.25">
      <c r="A5" s="36" t="s">
        <v>114</v>
      </c>
      <c r="B5" s="37"/>
      <c r="C5" s="37"/>
      <c r="D5" s="37"/>
      <c r="E5" s="36"/>
      <c r="F5" s="36"/>
      <c r="G5" s="36"/>
      <c r="H5" s="163"/>
      <c r="Y5" t="str">
        <f>E1</f>
        <v/>
      </c>
      <c r="Z5" t="str">
        <f>IFERROR(INDEX(Y$2:Y$8, MATCH(0,INDEX(COUNTIF(Z$1:Z4, Y$2:Y$8), 0,0),0)),"")</f>
        <v>Ingen</v>
      </c>
    </row>
    <row r="6" spans="1:26" x14ac:dyDescent="0.25">
      <c r="A6" s="36"/>
      <c r="B6" s="37"/>
      <c r="C6" s="37"/>
      <c r="D6" s="37"/>
      <c r="E6" s="36"/>
      <c r="F6" s="36"/>
      <c r="G6" s="36"/>
      <c r="H6" s="163"/>
      <c r="Y6" t="str">
        <f>F1</f>
        <v/>
      </c>
      <c r="Z6" t="str">
        <f>IFERROR(INDEX(Y$2:Y$8, MATCH(0,INDEX(COUNTIF(Z$1:Z5, Y$2:Y$8), 0,0),0)),"")</f>
        <v/>
      </c>
    </row>
    <row r="7" spans="1:26" ht="18" thickBot="1" x14ac:dyDescent="0.35">
      <c r="A7" s="2" t="s">
        <v>143</v>
      </c>
      <c r="B7" s="2"/>
      <c r="C7" s="2"/>
      <c r="D7" s="2"/>
      <c r="E7" s="2"/>
      <c r="F7" s="2"/>
      <c r="G7" s="2"/>
      <c r="H7" s="163"/>
      <c r="Y7" t="str">
        <f>G1</f>
        <v/>
      </c>
      <c r="Z7" t="str">
        <f>IFERROR(INDEX(Y$2:Y$8, MATCH(0,INDEX(COUNTIF(Z$1:Z6, Y$2:Y$8), 0,0),0)),"")</f>
        <v/>
      </c>
    </row>
    <row r="8" spans="1:26" ht="15.75" outlineLevel="1" thickTop="1" x14ac:dyDescent="0.25">
      <c r="A8" s="1" t="s">
        <v>36</v>
      </c>
      <c r="B8" s="36">
        <v>230</v>
      </c>
      <c r="C8" s="36">
        <v>230</v>
      </c>
      <c r="D8" s="36">
        <v>230</v>
      </c>
      <c r="E8" s="36"/>
      <c r="F8" s="36"/>
      <c r="G8" s="36"/>
      <c r="H8" s="163"/>
      <c r="Y8" t="str">
        <f>H1</f>
        <v>Ingen</v>
      </c>
      <c r="Z8" t="str">
        <f>IFERROR(INDEX(Y$2:Y$8, MATCH(0,INDEX(COUNTIF(Z$1:Z7, Y$2:Y$8), 0,0),0)),"")</f>
        <v/>
      </c>
    </row>
    <row r="9" spans="1:26" outlineLevel="1" x14ac:dyDescent="0.25">
      <c r="A9" s="1" t="s">
        <v>68</v>
      </c>
      <c r="B9" s="36">
        <v>1</v>
      </c>
      <c r="C9" s="36">
        <v>1</v>
      </c>
      <c r="D9" s="36">
        <v>1</v>
      </c>
      <c r="E9" s="36"/>
      <c r="F9" s="36"/>
      <c r="G9" s="36"/>
      <c r="H9" s="163"/>
    </row>
    <row r="10" spans="1:26" outlineLevel="1" x14ac:dyDescent="0.25">
      <c r="A10" s="1" t="s">
        <v>117</v>
      </c>
      <c r="B10" s="36">
        <v>7.5</v>
      </c>
      <c r="C10" s="36">
        <v>7.5</v>
      </c>
      <c r="D10" s="36">
        <v>7.5</v>
      </c>
      <c r="E10" s="36"/>
      <c r="F10" s="36"/>
      <c r="G10" s="36"/>
      <c r="H10" s="163"/>
    </row>
    <row r="11" spans="1:26" outlineLevel="1" x14ac:dyDescent="0.25">
      <c r="A11" s="1" t="s">
        <v>328</v>
      </c>
      <c r="B11" s="26">
        <f t="shared" ref="B11:G11" si="0">B10*B9*B8</f>
        <v>1725</v>
      </c>
      <c r="C11" s="36">
        <f t="shared" si="0"/>
        <v>1725</v>
      </c>
      <c r="D11" s="36">
        <f t="shared" si="0"/>
        <v>1725</v>
      </c>
      <c r="E11" s="36">
        <f t="shared" si="0"/>
        <v>0</v>
      </c>
      <c r="F11" s="36">
        <f t="shared" si="0"/>
        <v>0</v>
      </c>
      <c r="G11" s="36">
        <f t="shared" si="0"/>
        <v>0</v>
      </c>
      <c r="H11" s="163"/>
    </row>
    <row r="12" spans="1:26" x14ac:dyDescent="0.25">
      <c r="B12" s="26"/>
      <c r="H12" s="163"/>
    </row>
    <row r="13" spans="1:26" ht="18" thickBot="1" x14ac:dyDescent="0.35">
      <c r="A13" s="2" t="s">
        <v>52</v>
      </c>
      <c r="B13" s="2"/>
      <c r="C13" s="2"/>
      <c r="D13" s="2"/>
      <c r="E13" s="2"/>
      <c r="F13" s="2"/>
      <c r="G13" s="2"/>
      <c r="H13" s="163"/>
    </row>
    <row r="14" spans="1:26" ht="15.75" outlineLevel="1" thickTop="1" x14ac:dyDescent="0.25">
      <c r="A14" s="1" t="s">
        <v>5</v>
      </c>
      <c r="B14" s="38">
        <v>2000000</v>
      </c>
      <c r="C14" s="38">
        <v>2300000</v>
      </c>
      <c r="D14" s="38">
        <v>2600000</v>
      </c>
      <c r="E14" s="38"/>
      <c r="F14" s="38"/>
      <c r="G14" s="38"/>
      <c r="H14" s="163"/>
    </row>
    <row r="15" spans="1:26" outlineLevel="1" x14ac:dyDescent="0.25">
      <c r="A15" s="1" t="s">
        <v>8</v>
      </c>
      <c r="B15" s="38">
        <v>300000</v>
      </c>
      <c r="C15" s="38">
        <v>600000</v>
      </c>
      <c r="D15" s="38">
        <v>600000</v>
      </c>
      <c r="E15" s="38"/>
      <c r="F15" s="38"/>
      <c r="G15" s="38"/>
      <c r="H15" s="163"/>
    </row>
    <row r="16" spans="1:26" outlineLevel="1" x14ac:dyDescent="0.25">
      <c r="A16" s="1" t="s">
        <v>6</v>
      </c>
      <c r="B16" s="39">
        <v>10</v>
      </c>
      <c r="C16" s="39">
        <v>10</v>
      </c>
      <c r="D16" s="39">
        <v>10</v>
      </c>
      <c r="E16" s="39"/>
      <c r="F16" s="39"/>
      <c r="G16" s="39"/>
      <c r="H16" s="163"/>
    </row>
    <row r="17" spans="1:8" outlineLevel="1" x14ac:dyDescent="0.25">
      <c r="A17" s="1" t="s">
        <v>7</v>
      </c>
      <c r="B17" s="39">
        <v>10</v>
      </c>
      <c r="C17" s="39">
        <v>10</v>
      </c>
      <c r="D17" s="39">
        <v>10</v>
      </c>
      <c r="E17" s="39"/>
      <c r="F17" s="39"/>
      <c r="G17" s="39"/>
      <c r="H17" s="163"/>
    </row>
    <row r="18" spans="1:8" outlineLevel="1" x14ac:dyDescent="0.25">
      <c r="A18" s="1" t="s">
        <v>55</v>
      </c>
      <c r="B18" s="40">
        <v>0.2</v>
      </c>
      <c r="C18" s="40">
        <v>0.2</v>
      </c>
      <c r="D18" s="40">
        <v>0.2</v>
      </c>
      <c r="E18" s="40"/>
      <c r="F18" s="40"/>
      <c r="G18" s="40"/>
      <c r="H18" s="163"/>
    </row>
    <row r="19" spans="1:8" outlineLevel="1" x14ac:dyDescent="0.25">
      <c r="A19" s="1" t="s">
        <v>54</v>
      </c>
      <c r="B19" s="40">
        <v>0.2</v>
      </c>
      <c r="C19" s="40">
        <v>0.2</v>
      </c>
      <c r="D19" s="40">
        <v>0.2</v>
      </c>
      <c r="E19" s="40"/>
      <c r="F19" s="40"/>
      <c r="G19" s="40"/>
      <c r="H19" s="163"/>
    </row>
    <row r="20" spans="1:8" outlineLevel="1" x14ac:dyDescent="0.25">
      <c r="A20" s="1" t="s">
        <v>46</v>
      </c>
      <c r="B20" s="36">
        <v>2000</v>
      </c>
      <c r="C20" s="36">
        <v>2000</v>
      </c>
      <c r="D20" s="36">
        <v>2000</v>
      </c>
      <c r="E20" s="36"/>
      <c r="F20" s="36"/>
      <c r="G20" s="36"/>
      <c r="H20" s="163"/>
    </row>
    <row r="21" spans="1:8" outlineLevel="1" x14ac:dyDescent="0.25">
      <c r="A21" s="1" t="s">
        <v>321</v>
      </c>
      <c r="B21" s="38">
        <f>SUM(B14:B15)*0.01</f>
        <v>23000</v>
      </c>
      <c r="C21" s="38">
        <f>SUM(C14:C15)*0.01</f>
        <v>29000</v>
      </c>
      <c r="D21" s="38">
        <f>SUM(D14:D15)*0.01</f>
        <v>32000</v>
      </c>
      <c r="E21" s="38"/>
      <c r="F21" s="38"/>
      <c r="G21" s="38"/>
      <c r="H21" s="163"/>
    </row>
    <row r="22" spans="1:8" x14ac:dyDescent="0.25">
      <c r="A22" s="1"/>
      <c r="B22" s="38"/>
      <c r="C22" s="38"/>
      <c r="D22" s="38"/>
      <c r="E22" s="38"/>
      <c r="F22" s="38"/>
      <c r="G22" s="38"/>
      <c r="H22" s="163"/>
    </row>
    <row r="23" spans="1:8" ht="18" thickBot="1" x14ac:dyDescent="0.35">
      <c r="A23" s="2" t="s">
        <v>53</v>
      </c>
      <c r="B23" s="2"/>
      <c r="C23" s="2"/>
      <c r="D23" s="2"/>
      <c r="E23" s="2"/>
      <c r="F23" s="2"/>
      <c r="G23" s="2"/>
      <c r="H23" s="163"/>
    </row>
    <row r="24" spans="1:8" ht="15.75" outlineLevel="1" thickTop="1" x14ac:dyDescent="0.25">
      <c r="A24" s="1" t="s">
        <v>382</v>
      </c>
      <c r="B24" s="44">
        <v>0.35599999999999998</v>
      </c>
      <c r="C24" s="44">
        <v>0.35599999999999998</v>
      </c>
      <c r="D24" s="44">
        <v>0.35599999999999998</v>
      </c>
      <c r="E24" s="44"/>
      <c r="F24" s="44"/>
      <c r="G24" s="44"/>
      <c r="H24" s="163"/>
    </row>
    <row r="25" spans="1:8" outlineLevel="1" x14ac:dyDescent="0.25">
      <c r="A25" s="1" t="s">
        <v>56</v>
      </c>
      <c r="B25" s="25">
        <f t="shared" ref="B25:G25" si="1">0.267*B2*B24</f>
        <v>12.35676</v>
      </c>
      <c r="C25" s="25">
        <f t="shared" si="1"/>
        <v>14.257800000000001</v>
      </c>
      <c r="D25" s="25">
        <f t="shared" si="1"/>
        <v>16.158839999999998</v>
      </c>
      <c r="E25" s="25">
        <f t="shared" si="1"/>
        <v>0</v>
      </c>
      <c r="F25" s="25">
        <f t="shared" si="1"/>
        <v>0</v>
      </c>
      <c r="G25" s="25">
        <f t="shared" si="1"/>
        <v>0</v>
      </c>
      <c r="H25" s="163"/>
    </row>
    <row r="26" spans="1:8" outlineLevel="1" x14ac:dyDescent="0.25">
      <c r="A26" s="1" t="s">
        <v>32</v>
      </c>
      <c r="B26" s="42">
        <v>0.126</v>
      </c>
      <c r="C26" s="42">
        <v>0.126</v>
      </c>
      <c r="D26" s="42">
        <v>0.126</v>
      </c>
      <c r="E26" s="42"/>
      <c r="F26" s="42"/>
      <c r="G26" s="42"/>
      <c r="H26" s="163"/>
    </row>
    <row r="27" spans="1:8" outlineLevel="1" x14ac:dyDescent="0.25">
      <c r="A27" s="36" t="s">
        <v>57</v>
      </c>
      <c r="B27" s="40">
        <v>1</v>
      </c>
      <c r="C27" s="40">
        <v>1</v>
      </c>
      <c r="D27" s="40">
        <v>1</v>
      </c>
      <c r="E27" s="40"/>
      <c r="F27" s="40"/>
      <c r="G27" s="40"/>
      <c r="H27" s="163"/>
    </row>
    <row r="28" spans="1:8" outlineLevel="1" x14ac:dyDescent="0.25">
      <c r="A28" s="1" t="s">
        <v>58</v>
      </c>
      <c r="B28" s="40">
        <v>1</v>
      </c>
      <c r="C28" s="40">
        <v>1</v>
      </c>
      <c r="D28" s="40">
        <v>1</v>
      </c>
      <c r="E28" s="40"/>
      <c r="F28" s="40"/>
      <c r="G28" s="40"/>
      <c r="H28" s="163"/>
    </row>
    <row r="29" spans="1:8" outlineLevel="1" x14ac:dyDescent="0.25">
      <c r="A29" s="1" t="s">
        <v>69</v>
      </c>
      <c r="B29" s="36"/>
      <c r="C29" s="36"/>
      <c r="D29" s="36"/>
      <c r="E29" s="36"/>
      <c r="F29" s="36"/>
      <c r="G29" s="36"/>
      <c r="H29" s="163"/>
    </row>
    <row r="30" spans="1:8" outlineLevel="1" x14ac:dyDescent="0.25">
      <c r="A30" s="1" t="s">
        <v>70</v>
      </c>
      <c r="B30" s="36"/>
      <c r="C30" s="36"/>
      <c r="D30" s="36"/>
      <c r="E30" s="36"/>
      <c r="F30" s="36"/>
      <c r="G30" s="36"/>
      <c r="H30" s="163"/>
    </row>
    <row r="31" spans="1:8" outlineLevel="1" x14ac:dyDescent="0.25">
      <c r="A31" s="1" t="s">
        <v>59</v>
      </c>
      <c r="B31" s="38">
        <v>100000</v>
      </c>
      <c r="C31" s="38">
        <v>100000</v>
      </c>
      <c r="D31" s="38">
        <v>100000</v>
      </c>
      <c r="E31" s="38"/>
      <c r="F31" s="38"/>
      <c r="G31" s="38"/>
      <c r="H31" s="163"/>
    </row>
    <row r="32" spans="1:8" ht="15.75" outlineLevel="1" x14ac:dyDescent="0.3">
      <c r="A32" s="1" t="s">
        <v>380</v>
      </c>
      <c r="B32" s="38">
        <v>9000</v>
      </c>
      <c r="C32" s="38">
        <v>9000</v>
      </c>
      <c r="D32" s="38">
        <v>9000</v>
      </c>
      <c r="E32" s="38"/>
      <c r="F32" s="38"/>
      <c r="G32" s="38"/>
      <c r="H32" s="163"/>
    </row>
    <row r="33" spans="1:8" outlineLevel="1" x14ac:dyDescent="0.25">
      <c r="A33" s="1" t="s">
        <v>61</v>
      </c>
      <c r="B33" s="38">
        <v>100000</v>
      </c>
      <c r="C33" s="38">
        <v>100000</v>
      </c>
      <c r="D33" s="38">
        <v>100000</v>
      </c>
      <c r="E33" s="38"/>
      <c r="F33" s="38"/>
      <c r="G33" s="38"/>
      <c r="H33" s="163"/>
    </row>
    <row r="34" spans="1:8" ht="15.75" outlineLevel="1" x14ac:dyDescent="0.3">
      <c r="A34" s="1" t="s">
        <v>379</v>
      </c>
      <c r="B34" s="38">
        <v>6000</v>
      </c>
      <c r="C34" s="38">
        <v>6000</v>
      </c>
      <c r="D34" s="38">
        <v>6000</v>
      </c>
      <c r="E34" s="38"/>
      <c r="F34" s="38"/>
      <c r="G34" s="38"/>
      <c r="H34" s="163"/>
    </row>
    <row r="35" spans="1:8" outlineLevel="1" x14ac:dyDescent="0.25">
      <c r="A35" s="1" t="s">
        <v>64</v>
      </c>
      <c r="B35" s="38">
        <v>2000</v>
      </c>
      <c r="C35" s="38">
        <v>150</v>
      </c>
      <c r="D35" s="38">
        <v>150</v>
      </c>
      <c r="E35" s="38"/>
      <c r="F35" s="38"/>
      <c r="G35" s="38"/>
      <c r="H35" s="163"/>
    </row>
    <row r="36" spans="1:8" ht="15.75" outlineLevel="1" x14ac:dyDescent="0.3">
      <c r="A36" s="1" t="s">
        <v>63</v>
      </c>
      <c r="B36" s="38">
        <v>2000</v>
      </c>
      <c r="C36" s="38">
        <v>30</v>
      </c>
      <c r="D36" s="38">
        <v>30</v>
      </c>
      <c r="E36" s="38"/>
      <c r="F36" s="38"/>
      <c r="G36" s="38"/>
      <c r="H36" s="163"/>
    </row>
    <row r="37" spans="1:8" outlineLevel="1" x14ac:dyDescent="0.25">
      <c r="A37" s="1" t="s">
        <v>65</v>
      </c>
      <c r="B37" s="38">
        <v>150</v>
      </c>
      <c r="C37" s="38">
        <v>150</v>
      </c>
      <c r="D37" s="38">
        <v>150</v>
      </c>
      <c r="E37" s="38"/>
      <c r="F37" s="38"/>
      <c r="G37" s="38"/>
      <c r="H37" s="163"/>
    </row>
    <row r="38" spans="1:8" ht="15.75" outlineLevel="1" x14ac:dyDescent="0.3">
      <c r="A38" s="1" t="s">
        <v>66</v>
      </c>
      <c r="B38" s="38">
        <v>150</v>
      </c>
      <c r="C38" s="38">
        <v>150</v>
      </c>
      <c r="D38" s="38">
        <v>150</v>
      </c>
      <c r="E38" s="38"/>
      <c r="F38" s="38"/>
      <c r="G38" s="38"/>
      <c r="H38" s="163"/>
    </row>
    <row r="39" spans="1:8" outlineLevel="1" x14ac:dyDescent="0.25">
      <c r="A39" s="1" t="s">
        <v>273</v>
      </c>
      <c r="B39" s="38">
        <v>1000</v>
      </c>
      <c r="C39" s="38">
        <v>1000</v>
      </c>
      <c r="D39" s="38">
        <v>1000</v>
      </c>
      <c r="E39" s="38"/>
      <c r="F39" s="38"/>
      <c r="G39" s="38"/>
      <c r="H39" s="163"/>
    </row>
    <row r="40" spans="1:8" outlineLevel="1" x14ac:dyDescent="0.25">
      <c r="A40" s="1"/>
      <c r="B40" s="38"/>
      <c r="C40" s="38"/>
      <c r="D40" s="38"/>
      <c r="E40" s="38"/>
      <c r="F40" s="38"/>
      <c r="G40" s="38"/>
      <c r="H40" s="163"/>
    </row>
    <row r="41" spans="1:8" ht="18" thickBot="1" x14ac:dyDescent="0.35">
      <c r="A41" s="2" t="s">
        <v>67</v>
      </c>
      <c r="B41" s="2"/>
      <c r="C41" s="2"/>
      <c r="D41" s="2"/>
      <c r="E41" s="2"/>
      <c r="F41" s="2"/>
      <c r="G41" s="2"/>
      <c r="H41" s="163"/>
    </row>
    <row r="42" spans="1:8" ht="15.75" outlineLevel="1" thickTop="1" x14ac:dyDescent="0.25">
      <c r="A42" s="1" t="s">
        <v>83</v>
      </c>
      <c r="B42" s="36">
        <v>7.5</v>
      </c>
      <c r="C42" s="36">
        <v>7.5</v>
      </c>
      <c r="D42" s="36">
        <v>7.5</v>
      </c>
      <c r="E42" s="107"/>
      <c r="F42" s="107"/>
      <c r="G42" s="107"/>
      <c r="H42" s="163"/>
    </row>
    <row r="43" spans="1:8" outlineLevel="1" x14ac:dyDescent="0.25">
      <c r="A43" s="1" t="s">
        <v>333</v>
      </c>
      <c r="B43" s="22">
        <f>IF(B42&gt;0,Forutsetninger!$D$19,0)</f>
        <v>247.08698530885721</v>
      </c>
      <c r="C43" s="22">
        <f>IF(C42&gt;0,Forutsetninger!$D$19,0)</f>
        <v>247.08698530885721</v>
      </c>
      <c r="D43" s="22">
        <f>IF(D42&gt;0,Forutsetninger!$D$19,0)</f>
        <v>247.08698530885721</v>
      </c>
      <c r="E43" s="107">
        <f>IF(E42&gt;0,Forutsetninger!$D$19,0)</f>
        <v>0</v>
      </c>
      <c r="F43" s="107">
        <f>IF(F42&gt;0,Forutsetninger!$D$19,0)</f>
        <v>0</v>
      </c>
      <c r="G43" s="107">
        <f>IF(G42&gt;0,Forutsetninger!$D$19,0)</f>
        <v>0</v>
      </c>
      <c r="H43" s="163"/>
    </row>
    <row r="44" spans="1:8" outlineLevel="1" x14ac:dyDescent="0.25">
      <c r="A44" s="1" t="s">
        <v>82</v>
      </c>
      <c r="B44" s="38">
        <v>100</v>
      </c>
      <c r="C44" s="38">
        <v>100</v>
      </c>
      <c r="D44" s="38">
        <v>100</v>
      </c>
      <c r="E44" s="38"/>
      <c r="F44" s="38"/>
      <c r="G44" s="38"/>
      <c r="H44" s="163"/>
    </row>
    <row r="45" spans="1:8" outlineLevel="1" x14ac:dyDescent="0.25">
      <c r="A45" s="1" t="s">
        <v>72</v>
      </c>
      <c r="B45" s="38">
        <v>50</v>
      </c>
      <c r="C45" s="38">
        <v>50</v>
      </c>
      <c r="D45" s="38">
        <v>50</v>
      </c>
      <c r="E45" s="38"/>
      <c r="F45" s="38"/>
      <c r="G45" s="38"/>
      <c r="H45" s="163"/>
    </row>
    <row r="46" spans="1:8" outlineLevel="1" x14ac:dyDescent="0.25">
      <c r="A46" s="1" t="s">
        <v>85</v>
      </c>
      <c r="B46" s="38">
        <f>IF(B42&gt;0,SUM(Forutsetninger!D20),"")</f>
        <v>3000</v>
      </c>
      <c r="C46" s="38">
        <f>IF(C42&gt;0,SUM(Forutsetninger!E20),"")</f>
        <v>3000</v>
      </c>
      <c r="D46" s="38">
        <f>IF(D42&gt;0,SUM(Forutsetninger!F20),"")</f>
        <v>3000</v>
      </c>
      <c r="E46" s="38" t="str">
        <f>IF(E42&gt;0,SUM(Forutsetninger!G20),"")</f>
        <v/>
      </c>
      <c r="F46" s="38" t="str">
        <f>IF(F42&gt;0,SUM(Forutsetninger!H20),"")</f>
        <v/>
      </c>
      <c r="G46" s="38" t="str">
        <f>IF(G42&gt;0,SUM(Forutsetninger!I20),"")</f>
        <v/>
      </c>
      <c r="H46" s="163"/>
    </row>
    <row r="47" spans="1:8" outlineLevel="1" x14ac:dyDescent="0.25">
      <c r="A47" s="1" t="s">
        <v>73</v>
      </c>
      <c r="B47" s="38">
        <v>100000</v>
      </c>
      <c r="C47" s="38">
        <v>100000</v>
      </c>
      <c r="D47" s="38">
        <v>100000</v>
      </c>
      <c r="E47" s="38"/>
      <c r="F47" s="38"/>
      <c r="G47" s="38"/>
      <c r="H47" s="163"/>
    </row>
    <row r="48" spans="1:8" x14ac:dyDescent="0.25">
      <c r="A48" s="1"/>
      <c r="B48" s="38"/>
      <c r="C48" s="38"/>
      <c r="D48" s="38"/>
      <c r="E48" s="38"/>
      <c r="F48" s="38"/>
      <c r="G48" s="38"/>
      <c r="H48" s="163"/>
    </row>
    <row r="49" spans="1:8" ht="18" thickBot="1" x14ac:dyDescent="0.35">
      <c r="A49" s="2" t="s">
        <v>74</v>
      </c>
      <c r="B49" s="2"/>
      <c r="C49" s="2"/>
      <c r="D49" s="2"/>
      <c r="E49" s="2"/>
      <c r="F49" s="2"/>
      <c r="G49" s="2"/>
      <c r="H49" s="163"/>
    </row>
    <row r="50" spans="1:8" ht="16.5" outlineLevel="1" thickTop="1" x14ac:dyDescent="0.3">
      <c r="A50" s="1" t="s">
        <v>272</v>
      </c>
      <c r="B50" s="46">
        <v>7</v>
      </c>
      <c r="C50" s="46">
        <v>6</v>
      </c>
      <c r="D50" s="46">
        <v>5</v>
      </c>
      <c r="E50" s="46"/>
      <c r="F50" s="46"/>
      <c r="G50" s="46"/>
      <c r="H50" s="163"/>
    </row>
    <row r="51" spans="1:8" ht="15.75" outlineLevel="1" x14ac:dyDescent="0.3">
      <c r="A51" s="1" t="s">
        <v>78</v>
      </c>
      <c r="B51" s="46">
        <v>0.9</v>
      </c>
      <c r="C51" s="46">
        <v>0.9</v>
      </c>
      <c r="D51" s="46">
        <v>0.9</v>
      </c>
      <c r="E51" s="46"/>
      <c r="F51" s="46"/>
      <c r="G51" s="46"/>
      <c r="H51" s="163"/>
    </row>
    <row r="52" spans="1:8" ht="15.75" outlineLevel="1" x14ac:dyDescent="0.3">
      <c r="A52" s="1" t="s">
        <v>104</v>
      </c>
      <c r="B52" s="36">
        <v>0.8</v>
      </c>
      <c r="C52" s="36">
        <v>0.8</v>
      </c>
      <c r="D52" s="36">
        <v>0.8</v>
      </c>
      <c r="E52" s="36"/>
      <c r="F52" s="36"/>
      <c r="G52" s="36"/>
      <c r="H52" s="163"/>
    </row>
    <row r="53" spans="1:8" outlineLevel="1" x14ac:dyDescent="0.25">
      <c r="A53" s="1" t="s">
        <v>274</v>
      </c>
      <c r="B53" s="46">
        <v>1</v>
      </c>
      <c r="C53" s="46">
        <v>1</v>
      </c>
      <c r="D53" s="46">
        <v>1</v>
      </c>
      <c r="E53" s="46"/>
      <c r="F53" s="46"/>
      <c r="G53" s="46"/>
      <c r="H53" s="163"/>
    </row>
    <row r="54" spans="1:8" x14ac:dyDescent="0.25">
      <c r="B54" s="26"/>
      <c r="H54" s="163"/>
    </row>
    <row r="55" spans="1:8" ht="18" thickBot="1" x14ac:dyDescent="0.35">
      <c r="A55" s="20" t="s">
        <v>79</v>
      </c>
      <c r="B55" s="20"/>
      <c r="C55" s="20"/>
      <c r="D55" s="20"/>
      <c r="E55" s="20"/>
      <c r="F55" s="20"/>
      <c r="G55" s="20"/>
      <c r="H55" s="163"/>
    </row>
    <row r="56" spans="1:8" ht="16.5" outlineLevel="1" thickTop="1" x14ac:dyDescent="0.3">
      <c r="A56" s="21" t="s">
        <v>116</v>
      </c>
      <c r="B56" s="25">
        <f t="shared" ref="B56:G56" si="2">IF(B50&gt;0,1/B50*B51*60,0)</f>
        <v>7.7142857142857135</v>
      </c>
      <c r="C56" s="25">
        <f t="shared" si="2"/>
        <v>9</v>
      </c>
      <c r="D56" s="25">
        <f t="shared" si="2"/>
        <v>10.8</v>
      </c>
      <c r="E56" s="25">
        <f t="shared" si="2"/>
        <v>0</v>
      </c>
      <c r="F56" s="25">
        <f t="shared" si="2"/>
        <v>0</v>
      </c>
      <c r="G56" s="25">
        <f t="shared" si="2"/>
        <v>0</v>
      </c>
      <c r="H56" s="163">
        <v>0</v>
      </c>
    </row>
    <row r="57" spans="1:8" outlineLevel="1" x14ac:dyDescent="0.25">
      <c r="A57" s="21" t="s">
        <v>105</v>
      </c>
      <c r="B57" s="22">
        <f t="shared" ref="B57:G57" si="3">IF(AND(B8&gt;0,B9&gt;0,B10&gt;0),B8*B10*B9,0)</f>
        <v>1725</v>
      </c>
      <c r="C57" s="22">
        <f t="shared" si="3"/>
        <v>1725</v>
      </c>
      <c r="D57" s="22">
        <f t="shared" si="3"/>
        <v>1725</v>
      </c>
      <c r="E57" s="22">
        <f t="shared" si="3"/>
        <v>0</v>
      </c>
      <c r="F57" s="22">
        <f t="shared" si="3"/>
        <v>0</v>
      </c>
      <c r="G57" s="22">
        <f t="shared" si="3"/>
        <v>0</v>
      </c>
      <c r="H57" s="163"/>
    </row>
    <row r="58" spans="1:8" outlineLevel="1" x14ac:dyDescent="0.25">
      <c r="A58" s="21" t="s">
        <v>107</v>
      </c>
      <c r="B58" s="22">
        <f>IF(AND(B51&gt;0,B52&gt;0),Forutsetninger!$D$2*Hogst!B50/Hogst!B51/Hogst!B52/60+Hogst!B53,0)</f>
        <v>33.407407407407405</v>
      </c>
      <c r="C58" s="22">
        <f>IF(AND(C51&gt;0,C52&gt;0),Forutsetninger!$D$2*Hogst!C50/Hogst!C51/Hogst!C52/60+Hogst!C53,0)</f>
        <v>28.777777777777775</v>
      </c>
      <c r="D58" s="22">
        <f>IF(AND(D51&gt;0,D52&gt;0),Forutsetninger!$D$2*Hogst!D50/Hogst!D51/Hogst!D52/60+Hogst!D53,0)</f>
        <v>24.148148148148145</v>
      </c>
      <c r="E58" s="22">
        <f>IF(AND(E51&gt;0,E52&gt;0),Forutsetninger!$D$2*Hogst!E50/Hogst!E51/Hogst!E52/60+Hogst!E53,0)</f>
        <v>0</v>
      </c>
      <c r="F58" s="22">
        <f>IF(AND(F51&gt;0,F52&gt;0),Forutsetninger!$D$2*Hogst!F50/Hogst!F51/Hogst!F52/60+Hogst!F53,0)</f>
        <v>0</v>
      </c>
      <c r="G58" s="22">
        <f>IF(AND(G51&gt;0,G52&gt;0),Forutsetninger!$D$2*Hogst!G50/Hogst!G51/Hogst!G52/60+Hogst!G53,0)</f>
        <v>0</v>
      </c>
      <c r="H58" s="163"/>
    </row>
    <row r="59" spans="1:8" outlineLevel="1" x14ac:dyDescent="0.25">
      <c r="A59" s="21" t="s">
        <v>86</v>
      </c>
      <c r="B59" s="22">
        <f t="shared" ref="B59:G59" si="4">IF(B58&gt;0,B57/B58,0)</f>
        <v>51.63525498891353</v>
      </c>
      <c r="C59" s="22">
        <f t="shared" si="4"/>
        <v>59.942084942084946</v>
      </c>
      <c r="D59" s="22">
        <f t="shared" si="4"/>
        <v>71.434049079754615</v>
      </c>
      <c r="E59" s="22">
        <f t="shared" si="4"/>
        <v>0</v>
      </c>
      <c r="F59" s="22">
        <f t="shared" si="4"/>
        <v>0</v>
      </c>
      <c r="G59" s="22">
        <f t="shared" si="4"/>
        <v>0</v>
      </c>
      <c r="H59" s="163"/>
    </row>
    <row r="60" spans="1:8" ht="15.75" outlineLevel="1" x14ac:dyDescent="0.3">
      <c r="A60" s="21" t="s">
        <v>80</v>
      </c>
      <c r="B60" s="22">
        <f t="shared" ref="B60:G60" si="5">B8*B9*B10*B52-(B53*B59)</f>
        <v>1328.3647450110864</v>
      </c>
      <c r="C60" s="22">
        <f t="shared" si="5"/>
        <v>1320.0579150579151</v>
      </c>
      <c r="D60" s="22">
        <f t="shared" si="5"/>
        <v>1308.5659509202453</v>
      </c>
      <c r="E60" s="22">
        <f t="shared" si="5"/>
        <v>0</v>
      </c>
      <c r="F60" s="22">
        <f t="shared" si="5"/>
        <v>0</v>
      </c>
      <c r="G60" s="22">
        <f t="shared" si="5"/>
        <v>0</v>
      </c>
      <c r="H60" s="146"/>
    </row>
    <row r="61" spans="1:8" outlineLevel="1" x14ac:dyDescent="0.25">
      <c r="A61" s="21" t="s">
        <v>108</v>
      </c>
      <c r="B61" s="24">
        <f t="shared" ref="B61:G61" si="6">IFERROR(B60/B57,0)</f>
        <v>0.77006651884700661</v>
      </c>
      <c r="C61" s="24">
        <f t="shared" si="6"/>
        <v>0.76525096525096525</v>
      </c>
      <c r="D61" s="24">
        <f t="shared" si="6"/>
        <v>0.75858895705521467</v>
      </c>
      <c r="E61" s="24">
        <f t="shared" si="6"/>
        <v>0</v>
      </c>
      <c r="F61" s="24">
        <f t="shared" si="6"/>
        <v>0</v>
      </c>
      <c r="G61" s="24">
        <f t="shared" si="6"/>
        <v>0</v>
      </c>
      <c r="H61" s="163"/>
    </row>
    <row r="62" spans="1:8" outlineLevel="1" x14ac:dyDescent="0.25">
      <c r="A62" s="21" t="s">
        <v>81</v>
      </c>
      <c r="B62" s="22">
        <f t="shared" ref="B62:G62" si="7">IFERROR(B60*B51/B50*60,0)</f>
        <v>10247.385175799811</v>
      </c>
      <c r="C62" s="22">
        <f t="shared" si="7"/>
        <v>11880.521235521237</v>
      </c>
      <c r="D62" s="22">
        <f t="shared" si="7"/>
        <v>14132.51226993865</v>
      </c>
      <c r="E62" s="22">
        <f t="shared" si="7"/>
        <v>0</v>
      </c>
      <c r="F62" s="22">
        <f t="shared" si="7"/>
        <v>0</v>
      </c>
      <c r="G62" s="22">
        <f t="shared" si="7"/>
        <v>0</v>
      </c>
      <c r="H62" s="163">
        <v>0</v>
      </c>
    </row>
    <row r="63" spans="1:8" x14ac:dyDescent="0.25">
      <c r="A63" s="21"/>
      <c r="B63" s="22"/>
      <c r="C63" s="22"/>
      <c r="D63" s="22"/>
      <c r="E63" s="22"/>
      <c r="F63" s="22"/>
      <c r="G63" s="22"/>
      <c r="H63" s="163"/>
    </row>
    <row r="64" spans="1:8" ht="18" thickBot="1" x14ac:dyDescent="0.35">
      <c r="A64" s="20" t="s">
        <v>75</v>
      </c>
      <c r="B64" s="27">
        <f t="shared" ref="B64:G64" si="8">B82</f>
        <v>1412910.7281406007</v>
      </c>
      <c r="C64" s="27">
        <f t="shared" si="8"/>
        <v>1567103.6972642364</v>
      </c>
      <c r="D64" s="27">
        <f t="shared" si="8"/>
        <v>1677332.8441390821</v>
      </c>
      <c r="E64" s="27">
        <f t="shared" si="8"/>
        <v>0</v>
      </c>
      <c r="F64" s="27">
        <f t="shared" si="8"/>
        <v>0</v>
      </c>
      <c r="G64" s="27">
        <f t="shared" si="8"/>
        <v>0</v>
      </c>
      <c r="H64" s="163">
        <v>0</v>
      </c>
    </row>
    <row r="65" spans="1:8" ht="15.75" outlineLevel="2" thickTop="1" x14ac:dyDescent="0.25">
      <c r="A65" s="28" t="s">
        <v>77</v>
      </c>
      <c r="B65" s="22">
        <f t="shared" ref="B65:G65" si="9">IFERROR((B14-B31-B33-(B14*B18))/B16 + (B15-(B15*B19))/B17,0)</f>
        <v>164000</v>
      </c>
      <c r="C65" s="22">
        <f t="shared" si="9"/>
        <v>212000</v>
      </c>
      <c r="D65" s="22">
        <f t="shared" si="9"/>
        <v>236000</v>
      </c>
      <c r="E65" s="22">
        <f t="shared" si="9"/>
        <v>0</v>
      </c>
      <c r="F65" s="22">
        <f t="shared" si="9"/>
        <v>0</v>
      </c>
      <c r="G65" s="22">
        <f t="shared" si="9"/>
        <v>0</v>
      </c>
      <c r="H65" s="163"/>
    </row>
    <row r="66" spans="1:8" outlineLevel="2" x14ac:dyDescent="0.25">
      <c r="A66" s="28" t="s">
        <v>76</v>
      </c>
      <c r="B66" s="22">
        <f>IFERROR((((B14*(B16+1))+((B14*B18)*(B16-1)))/(B16*2) + ((B15*(B17+1))+((B15*B19)*(B17-1)))/(B17*2))*Forutsetninger!$D$22,0)</f>
        <v>73600</v>
      </c>
      <c r="C66" s="22">
        <f>IFERROR((((C14*(C16+1))+((C14*C18)*(C16-1)))/(C16*2) + ((C15*(C17+1))+((C15*C19)*(C17-1)))/(C17*2))*Forutsetninger!$D$22,0)</f>
        <v>92800</v>
      </c>
      <c r="D66" s="22">
        <f>IFERROR((((D14*(D16+1))+((D14*D18)*(D16-1)))/(D16*2) + ((D15*(D17+1))+((D15*D19)*(D17-1)))/(D17*2))*Forutsetninger!$D$22,0)</f>
        <v>102400</v>
      </c>
      <c r="E66" s="22">
        <f>IFERROR((((E14*(E16+1))+((E14*E18)*(E16-1)))/(E16*2) + ((E15*(E17+1))+((E15*E19)*(E17-1)))/(E17*2))*Forutsetninger!$D$22,0)</f>
        <v>0</v>
      </c>
      <c r="F66" s="22">
        <f>IFERROR((((F14*(F16+1))+((F14*F18)*(F16-1)))/(F16*2) + ((F15*(F17+1))+((F15*F19)*(F17-1)))/(F17*2))*Forutsetninger!$D$22,0)</f>
        <v>0</v>
      </c>
      <c r="G66" s="22">
        <f>IFERROR((((G14*(G16+1))+((G14*G18)*(G16-1)))/(G16*2) + ((G15*(G17+1))+((G15*G19)*(G17-1)))/(G17*2))*Forutsetninger!$D$22,0)</f>
        <v>0</v>
      </c>
      <c r="H66" s="163"/>
    </row>
    <row r="67" spans="1:8" outlineLevel="2" x14ac:dyDescent="0.25">
      <c r="A67" s="21" t="s">
        <v>96</v>
      </c>
      <c r="B67" s="22">
        <f t="shared" ref="B67:G67" si="10">B21+B20</f>
        <v>25000</v>
      </c>
      <c r="C67" s="22">
        <f t="shared" si="10"/>
        <v>31000</v>
      </c>
      <c r="D67" s="22">
        <f t="shared" si="10"/>
        <v>34000</v>
      </c>
      <c r="E67" s="22">
        <f t="shared" si="10"/>
        <v>0</v>
      </c>
      <c r="F67" s="22">
        <f t="shared" si="10"/>
        <v>0</v>
      </c>
      <c r="G67" s="22">
        <f t="shared" si="10"/>
        <v>0</v>
      </c>
      <c r="H67" s="163"/>
    </row>
    <row r="68" spans="1:8" outlineLevel="1" x14ac:dyDescent="0.25">
      <c r="A68" s="29" t="s">
        <v>98</v>
      </c>
      <c r="B68" s="30">
        <f t="shared" ref="B68:G68" si="11">SUM(B65:B67)</f>
        <v>262600</v>
      </c>
      <c r="C68" s="30">
        <f t="shared" si="11"/>
        <v>335800</v>
      </c>
      <c r="D68" s="30">
        <f t="shared" si="11"/>
        <v>372400</v>
      </c>
      <c r="E68" s="30">
        <f t="shared" si="11"/>
        <v>0</v>
      </c>
      <c r="F68" s="30">
        <f t="shared" si="11"/>
        <v>0</v>
      </c>
      <c r="G68" s="30">
        <f t="shared" si="11"/>
        <v>0</v>
      </c>
      <c r="H68" s="163"/>
    </row>
    <row r="69" spans="1:8" outlineLevel="2" x14ac:dyDescent="0.25">
      <c r="A69" s="21" t="s">
        <v>87</v>
      </c>
      <c r="B69" s="22">
        <f>B25*B60*Forutsetninger!$D$25</f>
        <v>147728.55911906873</v>
      </c>
      <c r="C69" s="22">
        <f>C25*C60*Forutsetninger!$D$25</f>
        <v>169390.09567181469</v>
      </c>
      <c r="D69" s="22">
        <f>D25*D60*Forutsetninger!$D$25</f>
        <v>190304.17047331284</v>
      </c>
      <c r="E69" s="22">
        <f>E25*E60*Forutsetninger!$D$25</f>
        <v>0</v>
      </c>
      <c r="F69" s="22">
        <f>F25*F60*Forutsetninger!$D$25</f>
        <v>0</v>
      </c>
      <c r="G69" s="22">
        <f>G25*G60*Forutsetninger!$D$25</f>
        <v>0</v>
      </c>
      <c r="H69" s="163"/>
    </row>
    <row r="70" spans="1:8" outlineLevel="2" x14ac:dyDescent="0.25">
      <c r="A70" s="28" t="s">
        <v>88</v>
      </c>
      <c r="B70" s="22">
        <f t="shared" ref="B70:G70" si="12">B69*B26</f>
        <v>18613.798449002661</v>
      </c>
      <c r="C70" s="22">
        <f t="shared" si="12"/>
        <v>21343.15205464865</v>
      </c>
      <c r="D70" s="22">
        <f t="shared" si="12"/>
        <v>23978.325479637417</v>
      </c>
      <c r="E70" s="22">
        <f t="shared" si="12"/>
        <v>0</v>
      </c>
      <c r="F70" s="22">
        <f t="shared" si="12"/>
        <v>0</v>
      </c>
      <c r="G70" s="22">
        <f t="shared" si="12"/>
        <v>0</v>
      </c>
      <c r="H70" s="163"/>
    </row>
    <row r="71" spans="1:8" outlineLevel="2" x14ac:dyDescent="0.25">
      <c r="A71" s="28" t="s">
        <v>89</v>
      </c>
      <c r="B71" s="22">
        <f t="shared" ref="B71:G71" si="13">IFERROR((B14-B31-B33)*B27/B16,0)</f>
        <v>180000</v>
      </c>
      <c r="C71" s="22">
        <f t="shared" si="13"/>
        <v>210000</v>
      </c>
      <c r="D71" s="22">
        <f t="shared" si="13"/>
        <v>240000</v>
      </c>
      <c r="E71" s="22">
        <f t="shared" si="13"/>
        <v>0</v>
      </c>
      <c r="F71" s="22">
        <f t="shared" si="13"/>
        <v>0</v>
      </c>
      <c r="G71" s="22">
        <f t="shared" si="13"/>
        <v>0</v>
      </c>
      <c r="H71" s="163"/>
    </row>
    <row r="72" spans="1:8" outlineLevel="2" x14ac:dyDescent="0.25">
      <c r="A72" s="21" t="s">
        <v>90</v>
      </c>
      <c r="B72" s="22">
        <f t="shared" ref="B72:G72" si="14">(IF(B32&gt;0,(B31/B32),0)+IF(B34&gt;0,(B33/B34),0))*B60</f>
        <v>36899.020694752398</v>
      </c>
      <c r="C72" s="22">
        <f t="shared" si="14"/>
        <v>36668.275418275422</v>
      </c>
      <c r="D72" s="22">
        <f t="shared" si="14"/>
        <v>36349.054192229036</v>
      </c>
      <c r="E72" s="22">
        <f t="shared" si="14"/>
        <v>0</v>
      </c>
      <c r="F72" s="22">
        <f t="shared" si="14"/>
        <v>0</v>
      </c>
      <c r="G72" s="22">
        <f t="shared" si="14"/>
        <v>0</v>
      </c>
      <c r="H72" s="163"/>
    </row>
    <row r="73" spans="1:8" outlineLevel="2" x14ac:dyDescent="0.25">
      <c r="A73" s="21" t="s">
        <v>91</v>
      </c>
      <c r="B73" s="22">
        <f t="shared" ref="B73:G73" si="15">(IF(AND(B35&gt;0,B36&gt;0),(B35/B36),0)+IF(AND(B37&gt;0,B38&gt;0),(B37/B38),0))*B60</f>
        <v>2656.7294900221727</v>
      </c>
      <c r="C73" s="22">
        <f t="shared" si="15"/>
        <v>7920.3474903474907</v>
      </c>
      <c r="D73" s="22">
        <f t="shared" si="15"/>
        <v>7851.3957055214723</v>
      </c>
      <c r="E73" s="22">
        <f t="shared" si="15"/>
        <v>0</v>
      </c>
      <c r="F73" s="22">
        <f t="shared" si="15"/>
        <v>0</v>
      </c>
      <c r="G73" s="22">
        <f t="shared" si="15"/>
        <v>0</v>
      </c>
      <c r="H73" s="163"/>
    </row>
    <row r="74" spans="1:8" outlineLevel="1" x14ac:dyDescent="0.25">
      <c r="A74" s="31" t="s">
        <v>97</v>
      </c>
      <c r="B74" s="30">
        <f t="shared" ref="B74:G74" si="16">SUM(B69:B73)</f>
        <v>385898.10775284597</v>
      </c>
      <c r="C74" s="30">
        <f t="shared" si="16"/>
        <v>445321.87063508632</v>
      </c>
      <c r="D74" s="30">
        <f t="shared" si="16"/>
        <v>498482.94585070078</v>
      </c>
      <c r="E74" s="30">
        <f t="shared" si="16"/>
        <v>0</v>
      </c>
      <c r="F74" s="30">
        <f t="shared" si="16"/>
        <v>0</v>
      </c>
      <c r="G74" s="30">
        <f t="shared" si="16"/>
        <v>0</v>
      </c>
      <c r="H74" s="163"/>
    </row>
    <row r="75" spans="1:8" outlineLevel="2" x14ac:dyDescent="0.25">
      <c r="A75" s="21" t="s">
        <v>335</v>
      </c>
      <c r="B75" s="22">
        <f t="shared" ref="B75:G75" si="17">IFERROR(B8*B9*B42*B43,0)</f>
        <v>426225.0496577787</v>
      </c>
      <c r="C75" s="22">
        <f t="shared" si="17"/>
        <v>426225.0496577787</v>
      </c>
      <c r="D75" s="22">
        <f t="shared" si="17"/>
        <v>426225.0496577787</v>
      </c>
      <c r="E75" s="22">
        <f t="shared" si="17"/>
        <v>0</v>
      </c>
      <c r="F75" s="22">
        <f t="shared" si="17"/>
        <v>0</v>
      </c>
      <c r="G75" s="22">
        <f t="shared" si="17"/>
        <v>0</v>
      </c>
      <c r="H75" s="163"/>
    </row>
    <row r="76" spans="1:8" outlineLevel="2" x14ac:dyDescent="0.25">
      <c r="A76" s="21" t="s">
        <v>94</v>
      </c>
      <c r="B76" s="22">
        <f>B45*B8*B9*Forutsetninger!$D$21</f>
        <v>36800</v>
      </c>
      <c r="C76" s="22">
        <f>C45*C8*C9*Forutsetninger!$D$21</f>
        <v>36800</v>
      </c>
      <c r="D76" s="22">
        <f>D45*D8*D9*Forutsetninger!$D$21</f>
        <v>36800</v>
      </c>
      <c r="E76" s="22">
        <f>E45*E8*E9*Forutsetninger!$D$21</f>
        <v>0</v>
      </c>
      <c r="F76" s="22">
        <f>F45*F8*F9*Forutsetninger!$D$21</f>
        <v>0</v>
      </c>
      <c r="G76" s="22">
        <f>G45*G8*G9*Forutsetninger!$D$21</f>
        <v>0</v>
      </c>
      <c r="H76" s="163"/>
    </row>
    <row r="77" spans="1:8" outlineLevel="2" x14ac:dyDescent="0.25">
      <c r="A77" s="21" t="s">
        <v>38</v>
      </c>
      <c r="B77" s="22">
        <f t="shared" ref="B77:G77" si="18">IFERROR(B44*B8*B9+B46,0)</f>
        <v>26000</v>
      </c>
      <c r="C77" s="22">
        <f t="shared" si="18"/>
        <v>26000</v>
      </c>
      <c r="D77" s="22">
        <f t="shared" si="18"/>
        <v>26000</v>
      </c>
      <c r="E77" s="22">
        <f t="shared" si="18"/>
        <v>0</v>
      </c>
      <c r="F77" s="22">
        <f t="shared" si="18"/>
        <v>0</v>
      </c>
      <c r="G77" s="22">
        <f t="shared" si="18"/>
        <v>0</v>
      </c>
      <c r="H77" s="163"/>
    </row>
    <row r="78" spans="1:8" outlineLevel="2" x14ac:dyDescent="0.25">
      <c r="A78" s="21" t="s">
        <v>92</v>
      </c>
      <c r="B78" s="22">
        <f t="shared" ref="B78:G78" si="19">B47</f>
        <v>100000</v>
      </c>
      <c r="C78" s="22">
        <f t="shared" si="19"/>
        <v>100000</v>
      </c>
      <c r="D78" s="22">
        <f t="shared" si="19"/>
        <v>100000</v>
      </c>
      <c r="E78" s="22">
        <f t="shared" si="19"/>
        <v>0</v>
      </c>
      <c r="F78" s="22">
        <f t="shared" si="19"/>
        <v>0</v>
      </c>
      <c r="G78" s="22">
        <f t="shared" si="19"/>
        <v>0</v>
      </c>
      <c r="H78" s="163"/>
    </row>
    <row r="79" spans="1:8" outlineLevel="1" x14ac:dyDescent="0.25">
      <c r="A79" s="31" t="s">
        <v>99</v>
      </c>
      <c r="B79" s="30">
        <f t="shared" ref="B79:G79" si="20">SUM(B75:B78)</f>
        <v>589025.0496577787</v>
      </c>
      <c r="C79" s="30">
        <f t="shared" si="20"/>
        <v>589025.0496577787</v>
      </c>
      <c r="D79" s="30">
        <f t="shared" si="20"/>
        <v>589025.0496577787</v>
      </c>
      <c r="E79" s="30">
        <f t="shared" si="20"/>
        <v>0</v>
      </c>
      <c r="F79" s="30">
        <f t="shared" si="20"/>
        <v>0</v>
      </c>
      <c r="G79" s="30">
        <f t="shared" si="20"/>
        <v>0</v>
      </c>
      <c r="H79" s="163"/>
    </row>
    <row r="80" spans="1:8" outlineLevel="1" x14ac:dyDescent="0.25">
      <c r="A80" s="31" t="s">
        <v>112</v>
      </c>
      <c r="B80" s="30">
        <f t="shared" ref="B80:G80" si="21">B39*B59</f>
        <v>51635.254988913533</v>
      </c>
      <c r="C80" s="30">
        <f t="shared" si="21"/>
        <v>59942.084942084948</v>
      </c>
      <c r="D80" s="30">
        <f t="shared" si="21"/>
        <v>71434.049079754608</v>
      </c>
      <c r="E80" s="30">
        <f t="shared" si="21"/>
        <v>0</v>
      </c>
      <c r="F80" s="30">
        <f t="shared" si="21"/>
        <v>0</v>
      </c>
      <c r="G80" s="30">
        <f t="shared" si="21"/>
        <v>0</v>
      </c>
      <c r="H80" s="163"/>
    </row>
    <row r="81" spans="1:8" outlineLevel="1" x14ac:dyDescent="0.25">
      <c r="A81" s="31" t="s">
        <v>109</v>
      </c>
      <c r="B81" s="30">
        <f>(B79+B74+B68)*Forutsetninger!$D24</f>
        <v>123752.31574106247</v>
      </c>
      <c r="C81" s="30">
        <f>(C79+C74+C68)*Forutsetninger!$D24</f>
        <v>137014.6920292865</v>
      </c>
      <c r="D81" s="30">
        <f>(D79+D74+D68)*Forutsetninger!$D24</f>
        <v>145990.79955084794</v>
      </c>
      <c r="E81" s="30">
        <f>(E79+E74+E68)*Forutsetninger!$D24</f>
        <v>0</v>
      </c>
      <c r="F81" s="30">
        <f>(F79+F74+F68)*Forutsetninger!$D24</f>
        <v>0</v>
      </c>
      <c r="G81" s="30">
        <f>(G79+G74+G68)*Forutsetninger!$D24</f>
        <v>0</v>
      </c>
      <c r="H81" s="163"/>
    </row>
    <row r="82" spans="1:8" ht="15.75" outlineLevel="1" thickBot="1" x14ac:dyDescent="0.3">
      <c r="A82" s="32" t="s">
        <v>100</v>
      </c>
      <c r="B82" s="33">
        <f t="shared" ref="B82:G82" si="22">B79+B80+B81+B74+B68</f>
        <v>1412910.7281406007</v>
      </c>
      <c r="C82" s="33">
        <f t="shared" si="22"/>
        <v>1567103.6972642364</v>
      </c>
      <c r="D82" s="33">
        <f t="shared" si="22"/>
        <v>1677332.8441390821</v>
      </c>
      <c r="E82" s="33">
        <f t="shared" si="22"/>
        <v>0</v>
      </c>
      <c r="F82" s="33">
        <f t="shared" si="22"/>
        <v>0</v>
      </c>
      <c r="G82" s="33">
        <f t="shared" si="22"/>
        <v>0</v>
      </c>
      <c r="H82" s="163">
        <v>0</v>
      </c>
    </row>
    <row r="83" spans="1:8" x14ac:dyDescent="0.25">
      <c r="A83" s="26"/>
      <c r="B83" s="22"/>
      <c r="C83" s="22"/>
      <c r="D83" s="22"/>
      <c r="E83" s="22"/>
      <c r="F83" s="22"/>
      <c r="G83" s="22"/>
      <c r="H83" s="163">
        <v>0</v>
      </c>
    </row>
    <row r="84" spans="1:8" ht="19.5" thickBot="1" x14ac:dyDescent="0.4">
      <c r="A84" s="20" t="s">
        <v>95</v>
      </c>
      <c r="B84" s="27">
        <f t="shared" ref="B84:G84" si="23">B102</f>
        <v>1063.6466628966496</v>
      </c>
      <c r="C84" s="27">
        <f t="shared" si="23"/>
        <v>1187.1476844979809</v>
      </c>
      <c r="D84" s="27">
        <f t="shared" si="23"/>
        <v>1281.8099408436408</v>
      </c>
      <c r="E84" s="27">
        <f t="shared" si="23"/>
        <v>0</v>
      </c>
      <c r="F84" s="27">
        <f t="shared" si="23"/>
        <v>0</v>
      </c>
      <c r="G84" s="27">
        <f t="shared" si="23"/>
        <v>0</v>
      </c>
      <c r="H84" s="163">
        <v>0</v>
      </c>
    </row>
    <row r="85" spans="1:8" ht="15.75" hidden="1" outlineLevel="2" thickTop="1" x14ac:dyDescent="0.25">
      <c r="A85" s="28" t="s">
        <v>77</v>
      </c>
      <c r="B85" s="22">
        <f t="shared" ref="B85:G87" si="24">B65/B$60</f>
        <v>123.46006668419318</v>
      </c>
      <c r="C85" s="22">
        <f t="shared" si="24"/>
        <v>160.59901431726115</v>
      </c>
      <c r="D85" s="22">
        <f t="shared" si="24"/>
        <v>180.35009991971262</v>
      </c>
      <c r="E85" s="22" t="e">
        <f t="shared" si="24"/>
        <v>#DIV/0!</v>
      </c>
      <c r="F85" s="22" t="e">
        <f t="shared" si="24"/>
        <v>#DIV/0!</v>
      </c>
      <c r="G85" s="22" t="e">
        <f t="shared" si="24"/>
        <v>#DIV/0!</v>
      </c>
      <c r="H85" s="163"/>
    </row>
    <row r="86" spans="1:8" ht="15.75" hidden="1" outlineLevel="2" thickTop="1" x14ac:dyDescent="0.25">
      <c r="A86" s="28" t="s">
        <v>76</v>
      </c>
      <c r="B86" s="22">
        <f t="shared" si="24"/>
        <v>55.406468950954988</v>
      </c>
      <c r="C86" s="22">
        <f t="shared" si="24"/>
        <v>70.299945889819966</v>
      </c>
      <c r="D86" s="22">
        <f t="shared" si="24"/>
        <v>78.253602677027843</v>
      </c>
      <c r="E86" s="22" t="e">
        <f t="shared" si="24"/>
        <v>#DIV/0!</v>
      </c>
      <c r="F86" s="22" t="e">
        <f t="shared" si="24"/>
        <v>#DIV/0!</v>
      </c>
      <c r="G86" s="22" t="e">
        <f t="shared" si="24"/>
        <v>#DIV/0!</v>
      </c>
      <c r="H86" s="163"/>
    </row>
    <row r="87" spans="1:8" ht="15.75" hidden="1" outlineLevel="2" thickTop="1" x14ac:dyDescent="0.25">
      <c r="A87" s="21" t="s">
        <v>96</v>
      </c>
      <c r="B87" s="22">
        <f t="shared" si="24"/>
        <v>18.820132116492864</v>
      </c>
      <c r="C87" s="22">
        <f t="shared" si="24"/>
        <v>23.483818131297621</v>
      </c>
      <c r="D87" s="22">
        <f t="shared" si="24"/>
        <v>25.982641513856901</v>
      </c>
      <c r="E87" s="22" t="e">
        <f t="shared" si="24"/>
        <v>#DIV/0!</v>
      </c>
      <c r="F87" s="22" t="e">
        <f t="shared" si="24"/>
        <v>#DIV/0!</v>
      </c>
      <c r="G87" s="22" t="e">
        <f t="shared" si="24"/>
        <v>#DIV/0!</v>
      </c>
      <c r="H87" s="163"/>
    </row>
    <row r="88" spans="1:8" ht="15.75" outlineLevel="1" collapsed="1" thickTop="1" x14ac:dyDescent="0.25">
      <c r="A88" s="29" t="s">
        <v>98</v>
      </c>
      <c r="B88" s="30">
        <f t="shared" ref="B88:G102" si="25">IFERROR(B68/B$60,0)</f>
        <v>197.68666775164104</v>
      </c>
      <c r="C88" s="30">
        <f t="shared" si="25"/>
        <v>254.38277833837873</v>
      </c>
      <c r="D88" s="30">
        <f t="shared" si="25"/>
        <v>284.58634411059739</v>
      </c>
      <c r="E88" s="30">
        <f t="shared" si="25"/>
        <v>0</v>
      </c>
      <c r="F88" s="30">
        <f t="shared" si="25"/>
        <v>0</v>
      </c>
      <c r="G88" s="30">
        <f t="shared" si="25"/>
        <v>0</v>
      </c>
      <c r="H88" s="163"/>
    </row>
    <row r="89" spans="1:8" outlineLevel="2" x14ac:dyDescent="0.25">
      <c r="A89" s="21" t="s">
        <v>87</v>
      </c>
      <c r="B89" s="22">
        <f t="shared" si="25"/>
        <v>111.21084</v>
      </c>
      <c r="C89" s="22">
        <f t="shared" si="25"/>
        <v>128.3202</v>
      </c>
      <c r="D89" s="22">
        <f t="shared" si="25"/>
        <v>145.42955999999998</v>
      </c>
      <c r="E89" s="22">
        <f t="shared" si="25"/>
        <v>0</v>
      </c>
      <c r="F89" s="22">
        <f t="shared" si="25"/>
        <v>0</v>
      </c>
      <c r="G89" s="22">
        <f t="shared" si="25"/>
        <v>0</v>
      </c>
      <c r="H89" s="163"/>
    </row>
    <row r="90" spans="1:8" outlineLevel="2" x14ac:dyDescent="0.25">
      <c r="A90" s="28" t="s">
        <v>88</v>
      </c>
      <c r="B90" s="22">
        <f t="shared" si="25"/>
        <v>14.012565840000001</v>
      </c>
      <c r="C90" s="22">
        <f t="shared" si="25"/>
        <v>16.168345200000001</v>
      </c>
      <c r="D90" s="22">
        <f t="shared" si="25"/>
        <v>18.324124559999998</v>
      </c>
      <c r="E90" s="22">
        <f t="shared" si="25"/>
        <v>0</v>
      </c>
      <c r="F90" s="22">
        <f t="shared" si="25"/>
        <v>0</v>
      </c>
      <c r="G90" s="22">
        <f t="shared" si="25"/>
        <v>0</v>
      </c>
      <c r="H90" s="163"/>
    </row>
    <row r="91" spans="1:8" outlineLevel="2" x14ac:dyDescent="0.25">
      <c r="A91" s="28" t="s">
        <v>89</v>
      </c>
      <c r="B91" s="22">
        <f t="shared" si="25"/>
        <v>135.50495123874862</v>
      </c>
      <c r="C91" s="22">
        <f t="shared" si="25"/>
        <v>159.08392927653227</v>
      </c>
      <c r="D91" s="22">
        <f t="shared" si="25"/>
        <v>183.40688127428402</v>
      </c>
      <c r="E91" s="22">
        <f t="shared" si="25"/>
        <v>0</v>
      </c>
      <c r="F91" s="22">
        <f t="shared" si="25"/>
        <v>0</v>
      </c>
      <c r="G91" s="22">
        <f t="shared" si="25"/>
        <v>0</v>
      </c>
      <c r="H91" s="163"/>
    </row>
    <row r="92" spans="1:8" outlineLevel="2" x14ac:dyDescent="0.25">
      <c r="A92" s="21" t="s">
        <v>90</v>
      </c>
      <c r="B92" s="22">
        <f t="shared" si="25"/>
        <v>27.777777777777779</v>
      </c>
      <c r="C92" s="22">
        <f t="shared" si="25"/>
        <v>27.777777777777779</v>
      </c>
      <c r="D92" s="22">
        <f t="shared" si="25"/>
        <v>27.777777777777779</v>
      </c>
      <c r="E92" s="22">
        <f t="shared" si="25"/>
        <v>0</v>
      </c>
      <c r="F92" s="22">
        <f t="shared" si="25"/>
        <v>0</v>
      </c>
      <c r="G92" s="22">
        <f t="shared" si="25"/>
        <v>0</v>
      </c>
      <c r="H92" s="163"/>
    </row>
    <row r="93" spans="1:8" outlineLevel="2" x14ac:dyDescent="0.25">
      <c r="A93" s="21" t="s">
        <v>91</v>
      </c>
      <c r="B93" s="22">
        <f t="shared" si="25"/>
        <v>2</v>
      </c>
      <c r="C93" s="22">
        <f t="shared" si="25"/>
        <v>6</v>
      </c>
      <c r="D93" s="22">
        <f t="shared" si="25"/>
        <v>6</v>
      </c>
      <c r="E93" s="22">
        <f t="shared" si="25"/>
        <v>0</v>
      </c>
      <c r="F93" s="22">
        <f t="shared" si="25"/>
        <v>0</v>
      </c>
      <c r="G93" s="22">
        <f t="shared" si="25"/>
        <v>0</v>
      </c>
      <c r="H93" s="163"/>
    </row>
    <row r="94" spans="1:8" outlineLevel="1" x14ac:dyDescent="0.25">
      <c r="A94" s="31" t="s">
        <v>97</v>
      </c>
      <c r="B94" s="30">
        <f t="shared" si="25"/>
        <v>290.50613485652639</v>
      </c>
      <c r="C94" s="30">
        <f t="shared" si="25"/>
        <v>337.35025225431008</v>
      </c>
      <c r="D94" s="30">
        <f t="shared" si="25"/>
        <v>380.93834361206177</v>
      </c>
      <c r="E94" s="30">
        <f t="shared" si="25"/>
        <v>0</v>
      </c>
      <c r="F94" s="30">
        <f t="shared" si="25"/>
        <v>0</v>
      </c>
      <c r="G94" s="30">
        <f t="shared" si="25"/>
        <v>0</v>
      </c>
      <c r="H94" s="163"/>
    </row>
    <row r="95" spans="1:8" outlineLevel="2" x14ac:dyDescent="0.25">
      <c r="A95" s="21" t="s">
        <v>335</v>
      </c>
      <c r="B95" s="22">
        <f t="shared" si="25"/>
        <v>320.86446983672505</v>
      </c>
      <c r="C95" s="22">
        <f t="shared" si="25"/>
        <v>322.88359836021198</v>
      </c>
      <c r="D95" s="22">
        <f t="shared" si="25"/>
        <v>325.71919616129179</v>
      </c>
      <c r="E95" s="22">
        <f t="shared" si="25"/>
        <v>0</v>
      </c>
      <c r="F95" s="22">
        <f t="shared" si="25"/>
        <v>0</v>
      </c>
      <c r="G95" s="22">
        <f t="shared" si="25"/>
        <v>0</v>
      </c>
      <c r="H95" s="163"/>
    </row>
    <row r="96" spans="1:8" outlineLevel="2" x14ac:dyDescent="0.25">
      <c r="A96" s="21" t="s">
        <v>94</v>
      </c>
      <c r="B96" s="22">
        <f t="shared" si="25"/>
        <v>27.703234475477494</v>
      </c>
      <c r="C96" s="22">
        <f t="shared" si="25"/>
        <v>27.877564749411366</v>
      </c>
      <c r="D96" s="22">
        <f t="shared" si="25"/>
        <v>28.122388462056882</v>
      </c>
      <c r="E96" s="22">
        <f t="shared" si="25"/>
        <v>0</v>
      </c>
      <c r="F96" s="22">
        <f t="shared" si="25"/>
        <v>0</v>
      </c>
      <c r="G96" s="22">
        <f t="shared" si="25"/>
        <v>0</v>
      </c>
      <c r="H96" s="163"/>
    </row>
    <row r="97" spans="1:8" outlineLevel="2" x14ac:dyDescent="0.25">
      <c r="A97" s="21" t="s">
        <v>38</v>
      </c>
      <c r="B97" s="22">
        <f t="shared" si="25"/>
        <v>19.572937401152579</v>
      </c>
      <c r="C97" s="22">
        <f t="shared" si="25"/>
        <v>19.696105529475421</v>
      </c>
      <c r="D97" s="22">
        <f t="shared" si="25"/>
        <v>19.869078804714103</v>
      </c>
      <c r="E97" s="22">
        <f t="shared" si="25"/>
        <v>0</v>
      </c>
      <c r="F97" s="22">
        <f t="shared" si="25"/>
        <v>0</v>
      </c>
      <c r="G97" s="22">
        <f t="shared" si="25"/>
        <v>0</v>
      </c>
      <c r="H97" s="163"/>
    </row>
    <row r="98" spans="1:8" outlineLevel="2" x14ac:dyDescent="0.25">
      <c r="A98" s="21" t="s">
        <v>92</v>
      </c>
      <c r="B98" s="22">
        <f t="shared" si="25"/>
        <v>75.280528465971457</v>
      </c>
      <c r="C98" s="22">
        <f t="shared" si="25"/>
        <v>75.75425203644393</v>
      </c>
      <c r="D98" s="22">
        <f t="shared" si="25"/>
        <v>76.419533864285015</v>
      </c>
      <c r="E98" s="22">
        <f t="shared" si="25"/>
        <v>0</v>
      </c>
      <c r="F98" s="22">
        <f t="shared" si="25"/>
        <v>0</v>
      </c>
      <c r="G98" s="22">
        <f t="shared" si="25"/>
        <v>0</v>
      </c>
      <c r="H98" s="163"/>
    </row>
    <row r="99" spans="1:8" outlineLevel="1" x14ac:dyDescent="0.25">
      <c r="A99" s="31" t="s">
        <v>99</v>
      </c>
      <c r="B99" s="30">
        <f t="shared" si="25"/>
        <v>443.42117017932657</v>
      </c>
      <c r="C99" s="30">
        <f t="shared" si="25"/>
        <v>446.21152067554272</v>
      </c>
      <c r="D99" s="30">
        <f t="shared" si="25"/>
        <v>450.13019729234776</v>
      </c>
      <c r="E99" s="30">
        <f t="shared" si="25"/>
        <v>0</v>
      </c>
      <c r="F99" s="30">
        <f t="shared" si="25"/>
        <v>0</v>
      </c>
      <c r="G99" s="30">
        <f t="shared" si="25"/>
        <v>0</v>
      </c>
      <c r="H99" s="163"/>
    </row>
    <row r="100" spans="1:8" outlineLevel="1" x14ac:dyDescent="0.25">
      <c r="A100" s="31" t="s">
        <v>112</v>
      </c>
      <c r="B100" s="30">
        <f t="shared" si="25"/>
        <v>38.871292830405999</v>
      </c>
      <c r="C100" s="30">
        <f t="shared" si="25"/>
        <v>45.408678102926338</v>
      </c>
      <c r="D100" s="30">
        <f t="shared" si="25"/>
        <v>54.589567327133047</v>
      </c>
      <c r="E100" s="30">
        <f t="shared" si="25"/>
        <v>0</v>
      </c>
      <c r="F100" s="30">
        <f t="shared" si="25"/>
        <v>0</v>
      </c>
      <c r="G100" s="30">
        <f t="shared" si="25"/>
        <v>0</v>
      </c>
      <c r="H100" s="163"/>
    </row>
    <row r="101" spans="1:8" outlineLevel="1" x14ac:dyDescent="0.25">
      <c r="A101" s="31" t="s">
        <v>109</v>
      </c>
      <c r="B101" s="30">
        <f t="shared" si="25"/>
        <v>93.161397278749405</v>
      </c>
      <c r="C101" s="30">
        <f t="shared" si="25"/>
        <v>103.79445512682315</v>
      </c>
      <c r="D101" s="30">
        <f t="shared" si="25"/>
        <v>111.56548850150068</v>
      </c>
      <c r="E101" s="30">
        <f t="shared" si="25"/>
        <v>0</v>
      </c>
      <c r="F101" s="30">
        <f t="shared" si="25"/>
        <v>0</v>
      </c>
      <c r="G101" s="30">
        <f t="shared" si="25"/>
        <v>0</v>
      </c>
      <c r="H101" s="163"/>
    </row>
    <row r="102" spans="1:8" ht="15.75" outlineLevel="1" thickBot="1" x14ac:dyDescent="0.3">
      <c r="A102" s="32" t="s">
        <v>101</v>
      </c>
      <c r="B102" s="33">
        <f t="shared" si="25"/>
        <v>1063.6466628966496</v>
      </c>
      <c r="C102" s="33">
        <f t="shared" si="25"/>
        <v>1187.1476844979809</v>
      </c>
      <c r="D102" s="33">
        <f t="shared" si="25"/>
        <v>1281.8099408436408</v>
      </c>
      <c r="E102" s="33">
        <f t="shared" si="25"/>
        <v>0</v>
      </c>
      <c r="F102" s="33">
        <f t="shared" si="25"/>
        <v>0</v>
      </c>
      <c r="G102" s="33">
        <f t="shared" si="25"/>
        <v>0</v>
      </c>
      <c r="H102" s="163"/>
    </row>
    <row r="103" spans="1:8" ht="15.75" x14ac:dyDescent="0.25">
      <c r="A103" s="35"/>
      <c r="B103" s="22"/>
      <c r="C103" s="22"/>
      <c r="D103" s="22"/>
      <c r="E103" s="22"/>
      <c r="F103" s="22"/>
      <c r="G103" s="22"/>
      <c r="H103" s="163"/>
    </row>
    <row r="104" spans="1:8" ht="19.5" thickBot="1" x14ac:dyDescent="0.35">
      <c r="A104" s="20" t="s">
        <v>102</v>
      </c>
      <c r="B104" s="27">
        <f t="shared" ref="B104:H104" si="26">B122</f>
        <v>137.88012296808418</v>
      </c>
      <c r="C104" s="27">
        <f t="shared" si="26"/>
        <v>131.90529827755344</v>
      </c>
      <c r="D104" s="27">
        <f t="shared" si="26"/>
        <v>118.68610563367044</v>
      </c>
      <c r="E104" s="27">
        <f t="shared" si="26"/>
        <v>0</v>
      </c>
      <c r="F104" s="27">
        <f>F122</f>
        <v>0</v>
      </c>
      <c r="G104" s="27">
        <f>G122</f>
        <v>0</v>
      </c>
      <c r="H104" s="164">
        <f t="shared" si="26"/>
        <v>0</v>
      </c>
    </row>
    <row r="105" spans="1:8" ht="15.75" outlineLevel="2" thickTop="1" x14ac:dyDescent="0.25">
      <c r="A105" s="28" t="s">
        <v>77</v>
      </c>
      <c r="B105" s="22">
        <f t="shared" ref="B105:D122" si="27">B65/B$62</f>
        <v>16.004082718321335</v>
      </c>
      <c r="C105" s="22">
        <f t="shared" si="27"/>
        <v>17.844334924140124</v>
      </c>
      <c r="D105" s="22">
        <f t="shared" si="27"/>
        <v>16.699083325899316</v>
      </c>
      <c r="E105" s="22">
        <f t="shared" ref="E105:G122" si="28">IFERROR(E65/E$62,0)</f>
        <v>0</v>
      </c>
      <c r="F105" s="22">
        <f t="shared" si="28"/>
        <v>0</v>
      </c>
      <c r="G105" s="22">
        <f t="shared" si="28"/>
        <v>0</v>
      </c>
      <c r="H105" s="163"/>
    </row>
    <row r="106" spans="1:8" outlineLevel="2" x14ac:dyDescent="0.25">
      <c r="A106" s="28" t="s">
        <v>76</v>
      </c>
      <c r="B106" s="22">
        <f t="shared" si="27"/>
        <v>7.1823200491978678</v>
      </c>
      <c r="C106" s="22">
        <f t="shared" si="27"/>
        <v>7.811105098868885</v>
      </c>
      <c r="D106" s="22">
        <f t="shared" si="27"/>
        <v>7.2457039515766519</v>
      </c>
      <c r="E106" s="22">
        <f t="shared" si="28"/>
        <v>0</v>
      </c>
      <c r="F106" s="22">
        <f t="shared" si="28"/>
        <v>0</v>
      </c>
      <c r="G106" s="22">
        <f t="shared" si="28"/>
        <v>0</v>
      </c>
      <c r="H106" s="163"/>
    </row>
    <row r="107" spans="1:8" outlineLevel="2" x14ac:dyDescent="0.25">
      <c r="A107" s="21" t="s">
        <v>96</v>
      </c>
      <c r="B107" s="22">
        <f t="shared" si="27"/>
        <v>2.4396467558416672</v>
      </c>
      <c r="C107" s="22">
        <f t="shared" si="27"/>
        <v>2.6093131256997353</v>
      </c>
      <c r="D107" s="22">
        <f t="shared" si="27"/>
        <v>2.4058001401719351</v>
      </c>
      <c r="E107" s="22">
        <f t="shared" si="28"/>
        <v>0</v>
      </c>
      <c r="F107" s="22">
        <f t="shared" si="28"/>
        <v>0</v>
      </c>
      <c r="G107" s="22">
        <f t="shared" si="28"/>
        <v>0</v>
      </c>
      <c r="H107" s="163"/>
    </row>
    <row r="108" spans="1:8" outlineLevel="1" x14ac:dyDescent="0.25">
      <c r="A108" s="29" t="s">
        <v>98</v>
      </c>
      <c r="B108" s="30">
        <f t="shared" si="27"/>
        <v>25.626049523360869</v>
      </c>
      <c r="C108" s="30">
        <f t="shared" si="27"/>
        <v>28.264753148708746</v>
      </c>
      <c r="D108" s="30">
        <f t="shared" si="27"/>
        <v>26.350587417647905</v>
      </c>
      <c r="E108" s="30">
        <f t="shared" si="28"/>
        <v>0</v>
      </c>
      <c r="F108" s="30">
        <f t="shared" si="28"/>
        <v>0</v>
      </c>
      <c r="G108" s="30">
        <f t="shared" si="28"/>
        <v>0</v>
      </c>
      <c r="H108" s="163"/>
    </row>
    <row r="109" spans="1:8" outlineLevel="2" x14ac:dyDescent="0.25">
      <c r="A109" s="21" t="s">
        <v>87</v>
      </c>
      <c r="B109" s="22">
        <f t="shared" si="27"/>
        <v>14.416219999999997</v>
      </c>
      <c r="C109" s="22">
        <f t="shared" si="27"/>
        <v>14.2578</v>
      </c>
      <c r="D109" s="22">
        <f t="shared" si="27"/>
        <v>13.465699999999996</v>
      </c>
      <c r="E109" s="22">
        <f t="shared" si="28"/>
        <v>0</v>
      </c>
      <c r="F109" s="22">
        <f t="shared" si="28"/>
        <v>0</v>
      </c>
      <c r="G109" s="22">
        <f t="shared" si="28"/>
        <v>0</v>
      </c>
      <c r="H109" s="163"/>
    </row>
    <row r="110" spans="1:8" outlineLevel="2" x14ac:dyDescent="0.25">
      <c r="A110" s="28" t="s">
        <v>88</v>
      </c>
      <c r="B110" s="22">
        <f t="shared" si="27"/>
        <v>1.8164437199999999</v>
      </c>
      <c r="C110" s="22">
        <f t="shared" si="27"/>
        <v>1.7964827999999999</v>
      </c>
      <c r="D110" s="22">
        <f t="shared" si="27"/>
        <v>1.6966781999999996</v>
      </c>
      <c r="E110" s="22">
        <f t="shared" si="28"/>
        <v>0</v>
      </c>
      <c r="F110" s="22">
        <f t="shared" si="28"/>
        <v>0</v>
      </c>
      <c r="G110" s="22">
        <f t="shared" si="28"/>
        <v>0</v>
      </c>
      <c r="H110" s="163"/>
    </row>
    <row r="111" spans="1:8" outlineLevel="2" x14ac:dyDescent="0.25">
      <c r="A111" s="28" t="s">
        <v>89</v>
      </c>
      <c r="B111" s="22">
        <f t="shared" si="27"/>
        <v>17.565456642060003</v>
      </c>
      <c r="C111" s="22">
        <f t="shared" si="27"/>
        <v>17.675992141836918</v>
      </c>
      <c r="D111" s="22">
        <f t="shared" si="27"/>
        <v>16.982118636507778</v>
      </c>
      <c r="E111" s="22">
        <f t="shared" si="28"/>
        <v>0</v>
      </c>
      <c r="F111" s="22">
        <f t="shared" si="28"/>
        <v>0</v>
      </c>
      <c r="G111" s="22">
        <f t="shared" si="28"/>
        <v>0</v>
      </c>
      <c r="H111" s="163"/>
    </row>
    <row r="112" spans="1:8" outlineLevel="2" x14ac:dyDescent="0.25">
      <c r="A112" s="21" t="s">
        <v>90</v>
      </c>
      <c r="B112" s="22">
        <f t="shared" si="27"/>
        <v>3.600823045267489</v>
      </c>
      <c r="C112" s="22">
        <f t="shared" si="27"/>
        <v>3.0864197530864197</v>
      </c>
      <c r="D112" s="22">
        <f t="shared" si="27"/>
        <v>2.5720164609053495</v>
      </c>
      <c r="E112" s="22">
        <f t="shared" si="28"/>
        <v>0</v>
      </c>
      <c r="F112" s="22">
        <f t="shared" si="28"/>
        <v>0</v>
      </c>
      <c r="G112" s="22">
        <f t="shared" si="28"/>
        <v>0</v>
      </c>
      <c r="H112" s="163"/>
    </row>
    <row r="113" spans="1:8" outlineLevel="2" x14ac:dyDescent="0.25">
      <c r="A113" s="21" t="s">
        <v>91</v>
      </c>
      <c r="B113" s="22">
        <f t="shared" si="27"/>
        <v>0.25925925925925919</v>
      </c>
      <c r="C113" s="22">
        <f t="shared" si="27"/>
        <v>0.66666666666666663</v>
      </c>
      <c r="D113" s="22">
        <f t="shared" si="27"/>
        <v>0.55555555555555558</v>
      </c>
      <c r="E113" s="22">
        <f t="shared" si="28"/>
        <v>0</v>
      </c>
      <c r="F113" s="22">
        <f t="shared" si="28"/>
        <v>0</v>
      </c>
      <c r="G113" s="22">
        <f t="shared" si="28"/>
        <v>0</v>
      </c>
      <c r="H113" s="163"/>
    </row>
    <row r="114" spans="1:8" outlineLevel="1" x14ac:dyDescent="0.25">
      <c r="A114" s="31" t="s">
        <v>97</v>
      </c>
      <c r="B114" s="30">
        <f t="shared" si="27"/>
        <v>37.658202666586753</v>
      </c>
      <c r="C114" s="30">
        <f t="shared" si="27"/>
        <v>37.483361361590006</v>
      </c>
      <c r="D114" s="30">
        <f t="shared" si="27"/>
        <v>35.27206885296868</v>
      </c>
      <c r="E114" s="30">
        <f t="shared" si="28"/>
        <v>0</v>
      </c>
      <c r="F114" s="30">
        <f t="shared" si="28"/>
        <v>0</v>
      </c>
      <c r="G114" s="30">
        <f t="shared" si="28"/>
        <v>0</v>
      </c>
      <c r="H114" s="163"/>
    </row>
    <row r="115" spans="1:8" outlineLevel="2" x14ac:dyDescent="0.25">
      <c r="A115" s="21" t="s">
        <v>335</v>
      </c>
      <c r="B115" s="22">
        <f t="shared" si="27"/>
        <v>41.593542386242127</v>
      </c>
      <c r="C115" s="22">
        <f t="shared" si="27"/>
        <v>35.875955373356888</v>
      </c>
      <c r="D115" s="22">
        <f t="shared" si="27"/>
        <v>30.159184829749236</v>
      </c>
      <c r="E115" s="22">
        <f t="shared" si="28"/>
        <v>0</v>
      </c>
      <c r="F115" s="22">
        <f t="shared" si="28"/>
        <v>0</v>
      </c>
      <c r="G115" s="22">
        <f t="shared" si="28"/>
        <v>0</v>
      </c>
      <c r="H115" s="163"/>
    </row>
    <row r="116" spans="1:8" outlineLevel="2" x14ac:dyDescent="0.25">
      <c r="A116" s="21" t="s">
        <v>94</v>
      </c>
      <c r="B116" s="22">
        <f t="shared" si="27"/>
        <v>3.5911600245989339</v>
      </c>
      <c r="C116" s="22">
        <f t="shared" si="27"/>
        <v>3.0975071943790407</v>
      </c>
      <c r="D116" s="22">
        <f t="shared" si="27"/>
        <v>2.6039248575978595</v>
      </c>
      <c r="E116" s="22">
        <f t="shared" si="28"/>
        <v>0</v>
      </c>
      <c r="F116" s="22">
        <f t="shared" si="28"/>
        <v>0</v>
      </c>
      <c r="G116" s="22">
        <f t="shared" si="28"/>
        <v>0</v>
      </c>
      <c r="H116" s="163"/>
    </row>
    <row r="117" spans="1:8" outlineLevel="2" x14ac:dyDescent="0.25">
      <c r="A117" s="21" t="s">
        <v>38</v>
      </c>
      <c r="B117" s="22">
        <f t="shared" si="27"/>
        <v>2.5372326260753337</v>
      </c>
      <c r="C117" s="22">
        <f t="shared" si="27"/>
        <v>2.1884561699417135</v>
      </c>
      <c r="D117" s="22">
        <f t="shared" si="27"/>
        <v>1.8397295189550094</v>
      </c>
      <c r="E117" s="22">
        <f t="shared" si="28"/>
        <v>0</v>
      </c>
      <c r="F117" s="22">
        <f t="shared" si="28"/>
        <v>0</v>
      </c>
      <c r="G117" s="22">
        <f t="shared" si="28"/>
        <v>0</v>
      </c>
      <c r="H117" s="163"/>
    </row>
    <row r="118" spans="1:8" outlineLevel="2" x14ac:dyDescent="0.25">
      <c r="A118" s="21" t="s">
        <v>92</v>
      </c>
      <c r="B118" s="22">
        <f t="shared" si="27"/>
        <v>9.7585870233666689</v>
      </c>
      <c r="C118" s="22">
        <f t="shared" si="27"/>
        <v>8.4171391151604364</v>
      </c>
      <c r="D118" s="22">
        <f t="shared" si="27"/>
        <v>7.0758827652115741</v>
      </c>
      <c r="E118" s="22">
        <f t="shared" si="28"/>
        <v>0</v>
      </c>
      <c r="F118" s="22">
        <f t="shared" si="28"/>
        <v>0</v>
      </c>
      <c r="G118" s="22">
        <f t="shared" si="28"/>
        <v>0</v>
      </c>
      <c r="H118" s="163"/>
    </row>
    <row r="119" spans="1:8" outlineLevel="1" x14ac:dyDescent="0.25">
      <c r="A119" s="31" t="s">
        <v>99</v>
      </c>
      <c r="B119" s="30">
        <f t="shared" si="27"/>
        <v>57.480522060283064</v>
      </c>
      <c r="C119" s="30">
        <f t="shared" si="27"/>
        <v>49.579057852838076</v>
      </c>
      <c r="D119" s="30">
        <f t="shared" si="27"/>
        <v>41.678721971513681</v>
      </c>
      <c r="E119" s="30">
        <f t="shared" si="28"/>
        <v>0</v>
      </c>
      <c r="F119" s="30">
        <f t="shared" si="28"/>
        <v>0</v>
      </c>
      <c r="G119" s="30">
        <f t="shared" si="28"/>
        <v>0</v>
      </c>
      <c r="H119" s="163"/>
    </row>
    <row r="120" spans="1:8" outlineLevel="1" x14ac:dyDescent="0.25">
      <c r="A120" s="31" t="s">
        <v>112</v>
      </c>
      <c r="B120" s="30">
        <f t="shared" si="27"/>
        <v>5.0388712928304065</v>
      </c>
      <c r="C120" s="30">
        <f t="shared" si="27"/>
        <v>5.0454086781029259</v>
      </c>
      <c r="D120" s="30">
        <f t="shared" si="27"/>
        <v>5.0545895673271337</v>
      </c>
      <c r="E120" s="30">
        <f t="shared" si="28"/>
        <v>0</v>
      </c>
      <c r="F120" s="30">
        <f t="shared" si="28"/>
        <v>0</v>
      </c>
      <c r="G120" s="30">
        <f t="shared" si="28"/>
        <v>0</v>
      </c>
      <c r="H120" s="163"/>
    </row>
    <row r="121" spans="1:8" outlineLevel="1" x14ac:dyDescent="0.25">
      <c r="A121" s="31" t="s">
        <v>109</v>
      </c>
      <c r="B121" s="30">
        <f t="shared" si="27"/>
        <v>12.07647742502307</v>
      </c>
      <c r="C121" s="30">
        <f t="shared" si="27"/>
        <v>11.532717236313683</v>
      </c>
      <c r="D121" s="30">
        <f t="shared" si="27"/>
        <v>10.330137824213026</v>
      </c>
      <c r="E121" s="30">
        <f t="shared" si="28"/>
        <v>0</v>
      </c>
      <c r="F121" s="30">
        <f t="shared" si="28"/>
        <v>0</v>
      </c>
      <c r="G121" s="30">
        <f t="shared" si="28"/>
        <v>0</v>
      </c>
      <c r="H121" s="163"/>
    </row>
    <row r="122" spans="1:8" ht="15.75" outlineLevel="1" thickBot="1" x14ac:dyDescent="0.3">
      <c r="A122" s="32" t="s">
        <v>103</v>
      </c>
      <c r="B122" s="33">
        <f t="shared" si="27"/>
        <v>137.88012296808418</v>
      </c>
      <c r="C122" s="33">
        <f t="shared" si="27"/>
        <v>131.90529827755344</v>
      </c>
      <c r="D122" s="33">
        <f t="shared" si="27"/>
        <v>118.68610563367044</v>
      </c>
      <c r="E122" s="33">
        <f t="shared" si="28"/>
        <v>0</v>
      </c>
      <c r="F122" s="33">
        <f t="shared" si="28"/>
        <v>0</v>
      </c>
      <c r="G122" s="33">
        <f t="shared" si="28"/>
        <v>0</v>
      </c>
      <c r="H122" s="165">
        <v>0</v>
      </c>
    </row>
    <row r="123" spans="1:8" x14ac:dyDescent="0.25">
      <c r="B123" s="26"/>
      <c r="H123" s="163"/>
    </row>
    <row r="124" spans="1:8" ht="18" collapsed="1" thickBot="1" x14ac:dyDescent="0.35">
      <c r="A124" s="2" t="s">
        <v>110</v>
      </c>
      <c r="B124" s="2"/>
      <c r="C124" s="2"/>
      <c r="D124" s="2"/>
      <c r="E124" s="2"/>
      <c r="F124" s="2"/>
      <c r="G124" s="2"/>
      <c r="H124" s="163"/>
    </row>
    <row r="125" spans="1:8" ht="18.75" outlineLevel="1" thickTop="1" x14ac:dyDescent="0.35">
      <c r="A125" t="s">
        <v>119</v>
      </c>
      <c r="B125" s="106">
        <f>B16*B60</f>
        <v>13283.647450110864</v>
      </c>
      <c r="C125" s="18">
        <f>C16*C60</f>
        <v>13200.579150579151</v>
      </c>
      <c r="D125" s="18">
        <f>D16*D60</f>
        <v>13085.659509202453</v>
      </c>
      <c r="E125" s="18">
        <f>IFERROR(E16*E60,0)</f>
        <v>0</v>
      </c>
      <c r="F125" s="18">
        <f>IFERROR(F16*F60,0)</f>
        <v>0</v>
      </c>
      <c r="G125" s="18">
        <f>IFERROR(G16*G60,0)</f>
        <v>0</v>
      </c>
      <c r="H125" s="163">
        <v>0</v>
      </c>
    </row>
    <row r="126" spans="1:8" ht="18" outlineLevel="1" x14ac:dyDescent="0.35">
      <c r="A126" t="s">
        <v>120</v>
      </c>
      <c r="B126" s="106">
        <f>B17*B60</f>
        <v>13283.647450110864</v>
      </c>
      <c r="C126" s="18">
        <f>C17*C60</f>
        <v>13200.579150579151</v>
      </c>
      <c r="D126" s="18">
        <f>D17*D60</f>
        <v>13085.659509202453</v>
      </c>
      <c r="E126" s="18">
        <f>IFERROR(E17*E60,0)</f>
        <v>0</v>
      </c>
      <c r="F126" s="18">
        <f>IFERROR(F17*F60,0)</f>
        <v>0</v>
      </c>
      <c r="G126" s="18">
        <f>IFERROR(G17*G60,0)</f>
        <v>0</v>
      </c>
      <c r="H126" s="163">
        <v>0</v>
      </c>
    </row>
    <row r="127" spans="1:8" outlineLevel="1" x14ac:dyDescent="0.25">
      <c r="A127" t="s">
        <v>111</v>
      </c>
      <c r="B127" s="25">
        <f>B24*B50</f>
        <v>2.492</v>
      </c>
      <c r="C127" s="17">
        <f>C24*C50</f>
        <v>2.1360000000000001</v>
      </c>
      <c r="D127" s="17">
        <f>D24*D50</f>
        <v>1.7799999999999998</v>
      </c>
      <c r="E127" s="17">
        <f>IFERROR(E24*E50,0)</f>
        <v>0</v>
      </c>
      <c r="F127" s="17">
        <f>IFERROR(F24*F50,0)</f>
        <v>0</v>
      </c>
      <c r="G127" s="17">
        <f>IFERROR(G24*G50,0)</f>
        <v>0</v>
      </c>
      <c r="H127" s="163">
        <v>0</v>
      </c>
    </row>
  </sheetData>
  <conditionalFormatting sqref="B25:G25">
    <cfRule type="cellIs" dxfId="24" priority="6" operator="lessThan">
      <formula>1</formula>
    </cfRule>
  </conditionalFormatting>
  <conditionalFormatting sqref="H60 E56:G127 H104:H123">
    <cfRule type="cellIs" dxfId="23" priority="5" operator="lessThan">
      <formula>0.1</formula>
    </cfRule>
  </conditionalFormatting>
  <conditionalFormatting sqref="F11:G11">
    <cfRule type="cellIs" dxfId="22" priority="3" operator="lessThan">
      <formula>0.1</formula>
    </cfRule>
  </conditionalFormatting>
  <conditionalFormatting sqref="E11">
    <cfRule type="cellIs" dxfId="21" priority="2" operator="lessThan">
      <formula>0.1</formula>
    </cfRule>
  </conditionalFormatting>
  <conditionalFormatting sqref="E42:G47">
    <cfRule type="cellIs" dxfId="20" priority="1" operator="lessThan">
      <formula>1</formula>
    </cfRule>
  </conditionalFormatting>
  <pageMargins left="0.7" right="0.7" top="0.75" bottom="0.75" header="0.3" footer="0.3"/>
  <pageSetup paperSize="9" orientation="portrait" r:id="rId1"/>
  <ignoredErrors>
    <ignoredError sqref="E73 E80" emptyCellReferenc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Y133"/>
  <sheetViews>
    <sheetView workbookViewId="0">
      <pane ySplit="1" topLeftCell="A40" activePane="bottomLeft" state="frozen"/>
      <selection pane="bottomLeft" activeCell="A24" sqref="A24"/>
    </sheetView>
  </sheetViews>
  <sheetFormatPr baseColWidth="10" defaultRowHeight="15" outlineLevelRow="1" x14ac:dyDescent="0.25"/>
  <cols>
    <col min="1" max="1" width="51.5703125" customWidth="1"/>
    <col min="2" max="2" width="17.140625" bestFit="1" customWidth="1"/>
    <col min="3" max="4" width="17.140625" customWidth="1"/>
    <col min="5" max="5" width="6.85546875" customWidth="1"/>
    <col min="6" max="6" width="5.42578125" customWidth="1"/>
  </cols>
  <sheetData>
    <row r="1" spans="1:25" ht="18" thickBot="1" x14ac:dyDescent="0.35">
      <c r="A1" s="2" t="s">
        <v>51</v>
      </c>
      <c r="B1" s="2" t="s">
        <v>144</v>
      </c>
      <c r="C1" s="160" t="s">
        <v>362</v>
      </c>
      <c r="D1" s="160" t="s">
        <v>362</v>
      </c>
      <c r="E1" s="161" t="s">
        <v>362</v>
      </c>
      <c r="F1" s="160" t="s">
        <v>362</v>
      </c>
      <c r="G1" s="144" t="s">
        <v>196</v>
      </c>
      <c r="X1" t="s">
        <v>121</v>
      </c>
    </row>
    <row r="2" spans="1:25" ht="15.75" outlineLevel="1" thickTop="1" x14ac:dyDescent="0.25">
      <c r="A2" s="36" t="s">
        <v>10</v>
      </c>
      <c r="B2" s="37">
        <v>130</v>
      </c>
      <c r="C2" s="37">
        <v>0</v>
      </c>
      <c r="D2" s="37">
        <v>0</v>
      </c>
      <c r="E2" s="37"/>
      <c r="F2" s="37"/>
      <c r="X2" t="str">
        <f t="array" ref="X2:X7">TRANSPOSE(B1:H1)</f>
        <v>Terrengbunter</v>
      </c>
      <c r="Y2" t="str">
        <f>IFERROR(INDEX(X$2:X$7, MATCH(0,INDEX(COUNTIF(X$1:X1, X$2:X$7), 0,0),0)),"")</f>
        <v>Terrengbunter</v>
      </c>
    </row>
    <row r="3" spans="1:25" outlineLevel="1" x14ac:dyDescent="0.25">
      <c r="A3" s="36" t="s">
        <v>115</v>
      </c>
      <c r="B3" s="37">
        <v>13</v>
      </c>
      <c r="C3" s="37">
        <v>0</v>
      </c>
      <c r="D3" s="37">
        <v>0</v>
      </c>
      <c r="E3" s="37"/>
      <c r="F3" s="37"/>
      <c r="X3" t="str">
        <v/>
      </c>
      <c r="Y3" t="str">
        <f>IFERROR(INDEX(X$2:X$7, MATCH(0,INDEX(COUNTIF(Y$1:Y2, X$2:X$7), 0,0),0)),"")</f>
        <v>Ingen</v>
      </c>
    </row>
    <row r="4" spans="1:25" outlineLevel="1" x14ac:dyDescent="0.25">
      <c r="A4" s="36" t="s">
        <v>161</v>
      </c>
      <c r="B4" s="37" t="s">
        <v>275</v>
      </c>
      <c r="C4" s="37"/>
      <c r="D4" s="37"/>
      <c r="E4" s="37"/>
      <c r="F4" s="37"/>
      <c r="X4" t="str">
        <v/>
      </c>
      <c r="Y4" t="str">
        <f>IFERROR(INDEX(X$2:X$7, MATCH(0,INDEX(COUNTIF(Y$1:Y3, X$2:X$7), 0,0),0)),"")</f>
        <v/>
      </c>
    </row>
    <row r="5" spans="1:25" outlineLevel="1" x14ac:dyDescent="0.25">
      <c r="A5" s="36" t="s">
        <v>114</v>
      </c>
      <c r="B5" s="37"/>
      <c r="C5" s="37"/>
      <c r="D5" s="37"/>
      <c r="E5" s="37"/>
      <c r="F5" s="37"/>
      <c r="X5" t="str">
        <v/>
      </c>
      <c r="Y5" t="str">
        <f>IFERROR(INDEX(X$2:X$7, MATCH(0,INDEX(COUNTIF(Y$1:Y4, X$2:X$7), 0,0),0)),"")</f>
        <v/>
      </c>
    </row>
    <row r="6" spans="1:25" x14ac:dyDescent="0.25">
      <c r="B6" s="19"/>
      <c r="C6" s="19"/>
      <c r="D6" s="19"/>
      <c r="E6" s="19"/>
      <c r="F6" s="19"/>
      <c r="X6" t="str">
        <v/>
      </c>
      <c r="Y6" t="str">
        <f>IFERROR(INDEX(X$2:X$7, MATCH(0,INDEX(COUNTIF(Y$1:Y5, X$2:X$7), 0,0),0)),"")</f>
        <v/>
      </c>
    </row>
    <row r="7" spans="1:25" ht="18" thickBot="1" x14ac:dyDescent="0.35">
      <c r="A7" s="2" t="s">
        <v>143</v>
      </c>
      <c r="B7" s="2"/>
      <c r="C7" s="2"/>
      <c r="D7" s="2"/>
      <c r="E7" s="2"/>
      <c r="F7" s="2"/>
      <c r="X7" t="str">
        <v>Ingen</v>
      </c>
      <c r="Y7" t="str">
        <f>IFERROR(INDEX(X$2:X$7, MATCH(0,INDEX(COUNTIF(Y$1:Y6, X$2:X$7), 0,0),0)),"")</f>
        <v/>
      </c>
    </row>
    <row r="8" spans="1:25" ht="15.75" outlineLevel="1" thickTop="1" x14ac:dyDescent="0.25">
      <c r="A8" s="1" t="s">
        <v>36</v>
      </c>
      <c r="B8" s="36">
        <v>230</v>
      </c>
      <c r="C8" s="36"/>
      <c r="D8" s="36"/>
      <c r="E8" s="36"/>
      <c r="F8" s="36"/>
      <c r="Y8" t="str">
        <f t="array" ref="Y8">IFERROR(INDEX($X$2:X13, FIND(0,COUNTIF($Y$1:Y7, $X$2:$X$7), 0)),"")</f>
        <v/>
      </c>
    </row>
    <row r="9" spans="1:25" outlineLevel="1" x14ac:dyDescent="0.25">
      <c r="A9" s="1" t="s">
        <v>68</v>
      </c>
      <c r="B9" s="36">
        <v>1</v>
      </c>
      <c r="C9" s="36"/>
      <c r="D9" s="36"/>
      <c r="E9" s="36"/>
      <c r="F9" s="36"/>
    </row>
    <row r="10" spans="1:25" outlineLevel="1" x14ac:dyDescent="0.25">
      <c r="A10" s="1" t="s">
        <v>117</v>
      </c>
      <c r="B10" s="36">
        <v>7.5</v>
      </c>
      <c r="C10" s="36"/>
      <c r="D10" s="36"/>
      <c r="E10" s="36"/>
      <c r="F10" s="36"/>
    </row>
    <row r="11" spans="1:25" x14ac:dyDescent="0.25">
      <c r="A11" s="36"/>
      <c r="B11" s="37"/>
      <c r="C11" s="37"/>
      <c r="D11" s="37"/>
      <c r="E11" s="37"/>
      <c r="F11" s="37"/>
    </row>
    <row r="12" spans="1:25" ht="18" thickBot="1" x14ac:dyDescent="0.35">
      <c r="A12" s="2" t="s">
        <v>52</v>
      </c>
      <c r="B12" s="2"/>
      <c r="C12" s="2"/>
      <c r="D12" s="2"/>
      <c r="E12" s="2"/>
      <c r="F12" s="2"/>
    </row>
    <row r="13" spans="1:25" ht="15.75" outlineLevel="1" thickTop="1" x14ac:dyDescent="0.25">
      <c r="A13" s="1" t="s">
        <v>5</v>
      </c>
      <c r="B13" s="38">
        <v>2000000</v>
      </c>
      <c r="C13" s="38"/>
      <c r="D13" s="38"/>
      <c r="E13" s="38"/>
      <c r="F13" s="38"/>
    </row>
    <row r="14" spans="1:25" outlineLevel="1" x14ac:dyDescent="0.25">
      <c r="A14" s="1" t="s">
        <v>8</v>
      </c>
      <c r="B14" s="38">
        <v>1700000</v>
      </c>
      <c r="C14" s="38"/>
      <c r="D14" s="38"/>
      <c r="E14" s="38"/>
      <c r="F14" s="38"/>
    </row>
    <row r="15" spans="1:25" outlineLevel="1" x14ac:dyDescent="0.25">
      <c r="A15" s="1" t="s">
        <v>6</v>
      </c>
      <c r="B15" s="39">
        <v>10</v>
      </c>
      <c r="C15" s="39"/>
      <c r="D15" s="39"/>
      <c r="E15" s="39"/>
      <c r="F15" s="39"/>
    </row>
    <row r="16" spans="1:25" outlineLevel="1" x14ac:dyDescent="0.25">
      <c r="A16" s="1" t="s">
        <v>7</v>
      </c>
      <c r="B16" s="39">
        <v>10</v>
      </c>
      <c r="C16" s="39"/>
      <c r="D16" s="39"/>
      <c r="E16" s="39"/>
      <c r="F16" s="39"/>
    </row>
    <row r="17" spans="1:6" outlineLevel="1" x14ac:dyDescent="0.25">
      <c r="A17" s="1" t="s">
        <v>55</v>
      </c>
      <c r="B17" s="40">
        <v>0.25</v>
      </c>
      <c r="C17" s="40"/>
      <c r="D17" s="40"/>
      <c r="E17" s="40"/>
      <c r="F17" s="40"/>
    </row>
    <row r="18" spans="1:6" outlineLevel="1" x14ac:dyDescent="0.25">
      <c r="A18" s="1" t="s">
        <v>54</v>
      </c>
      <c r="B18" s="40">
        <v>0.2</v>
      </c>
      <c r="C18" s="40"/>
      <c r="D18" s="40"/>
      <c r="E18" s="40"/>
      <c r="F18" s="40"/>
    </row>
    <row r="19" spans="1:6" outlineLevel="1" x14ac:dyDescent="0.25">
      <c r="A19" s="1" t="s">
        <v>46</v>
      </c>
      <c r="B19" s="36">
        <v>2000</v>
      </c>
      <c r="C19" s="36"/>
      <c r="D19" s="36"/>
      <c r="E19" s="36"/>
      <c r="F19" s="36"/>
    </row>
    <row r="20" spans="1:6" outlineLevel="1" x14ac:dyDescent="0.25">
      <c r="A20" s="1" t="s">
        <v>113</v>
      </c>
      <c r="B20" s="38">
        <f>SUM(B13:B14)*0.01</f>
        <v>37000</v>
      </c>
      <c r="C20" s="38"/>
      <c r="D20" s="38"/>
      <c r="E20" s="38"/>
      <c r="F20" s="38"/>
    </row>
    <row r="21" spans="1:6" x14ac:dyDescent="0.25">
      <c r="A21" s="1"/>
      <c r="B21" s="38"/>
      <c r="C21" s="38"/>
      <c r="D21" s="38"/>
      <c r="E21" s="38"/>
      <c r="F21" s="38"/>
    </row>
    <row r="22" spans="1:6" ht="18" thickBot="1" x14ac:dyDescent="0.35">
      <c r="A22" s="2" t="s">
        <v>53</v>
      </c>
      <c r="B22" s="2"/>
      <c r="C22" s="2"/>
      <c r="D22" s="2"/>
      <c r="E22" s="2"/>
      <c r="F22" s="2"/>
    </row>
    <row r="23" spans="1:6" ht="15.75" outlineLevel="1" thickTop="1" x14ac:dyDescent="0.25">
      <c r="A23" s="1" t="s">
        <v>381</v>
      </c>
      <c r="B23" s="19">
        <v>0.35599999999999998</v>
      </c>
      <c r="C23" s="44"/>
      <c r="D23" s="44"/>
      <c r="E23" s="44"/>
      <c r="F23" s="44"/>
    </row>
    <row r="24" spans="1:6" ht="15.75" outlineLevel="1" x14ac:dyDescent="0.3">
      <c r="A24" s="1" t="s">
        <v>142</v>
      </c>
      <c r="B24" s="25">
        <f>0.267*B2*B23</f>
        <v>12.35676</v>
      </c>
      <c r="C24" s="25">
        <f>0.267*C2*C23</f>
        <v>0</v>
      </c>
      <c r="D24" s="25">
        <f>0.267*D2*D23</f>
        <v>0</v>
      </c>
      <c r="E24" s="26">
        <f>0.267*E2*E23</f>
        <v>0</v>
      </c>
      <c r="F24" s="25">
        <f>0.267*F2*F23</f>
        <v>0</v>
      </c>
    </row>
    <row r="25" spans="1:6" outlineLevel="1" x14ac:dyDescent="0.25">
      <c r="A25" s="1" t="s">
        <v>32</v>
      </c>
      <c r="B25" s="42">
        <v>0.126</v>
      </c>
      <c r="C25" s="42"/>
      <c r="D25" s="42"/>
      <c r="E25" s="43"/>
      <c r="F25" s="42"/>
    </row>
    <row r="26" spans="1:6" outlineLevel="1" x14ac:dyDescent="0.25">
      <c r="A26" s="36" t="s">
        <v>57</v>
      </c>
      <c r="B26" s="40">
        <v>1</v>
      </c>
      <c r="C26" s="40"/>
      <c r="D26" s="40"/>
      <c r="E26" s="40"/>
      <c r="F26" s="40"/>
    </row>
    <row r="27" spans="1:6" outlineLevel="1" x14ac:dyDescent="0.25">
      <c r="A27" s="1" t="s">
        <v>58</v>
      </c>
      <c r="B27" s="40">
        <v>1</v>
      </c>
      <c r="C27" s="40"/>
      <c r="D27" s="40"/>
      <c r="E27" s="36"/>
      <c r="F27" s="40"/>
    </row>
    <row r="28" spans="1:6" outlineLevel="1" x14ac:dyDescent="0.25">
      <c r="A28" s="1" t="s">
        <v>69</v>
      </c>
      <c r="B28" s="36"/>
      <c r="C28" s="36"/>
      <c r="D28" s="36"/>
      <c r="E28" s="36"/>
      <c r="F28" s="36"/>
    </row>
    <row r="29" spans="1:6" outlineLevel="1" x14ac:dyDescent="0.25">
      <c r="A29" s="1" t="s">
        <v>70</v>
      </c>
      <c r="B29" s="36"/>
      <c r="C29" s="36"/>
      <c r="D29" s="36"/>
      <c r="E29" s="36"/>
      <c r="F29" s="36"/>
    </row>
    <row r="30" spans="1:6" outlineLevel="1" x14ac:dyDescent="0.25">
      <c r="A30" s="1" t="s">
        <v>150</v>
      </c>
      <c r="B30" s="38">
        <v>100000</v>
      </c>
      <c r="C30" s="38"/>
      <c r="D30" s="38"/>
      <c r="E30" s="36"/>
      <c r="F30" s="38"/>
    </row>
    <row r="31" spans="1:6" ht="15.75" outlineLevel="1" x14ac:dyDescent="0.3">
      <c r="A31" s="1" t="s">
        <v>149</v>
      </c>
      <c r="B31" s="38">
        <v>8000</v>
      </c>
      <c r="C31" s="38"/>
      <c r="D31" s="38"/>
      <c r="E31" s="36"/>
      <c r="F31" s="38"/>
    </row>
    <row r="32" spans="1:6" outlineLevel="1" x14ac:dyDescent="0.25">
      <c r="A32" s="1" t="s">
        <v>61</v>
      </c>
      <c r="B32" s="38">
        <v>100000</v>
      </c>
      <c r="C32" s="38"/>
      <c r="D32" s="38"/>
      <c r="E32" s="40"/>
      <c r="F32" s="38"/>
    </row>
    <row r="33" spans="1:6" ht="15.75" outlineLevel="1" x14ac:dyDescent="0.3">
      <c r="A33" s="1" t="s">
        <v>148</v>
      </c>
      <c r="B33" s="38">
        <v>6000</v>
      </c>
      <c r="C33" s="38"/>
      <c r="D33" s="38"/>
      <c r="E33" s="40"/>
      <c r="F33" s="38"/>
    </row>
    <row r="34" spans="1:6" outlineLevel="1" x14ac:dyDescent="0.25">
      <c r="A34" s="1" t="s">
        <v>146</v>
      </c>
      <c r="B34" s="38">
        <v>150</v>
      </c>
      <c r="C34" s="38"/>
      <c r="D34" s="38"/>
    </row>
    <row r="35" spans="1:6" ht="15.75" outlineLevel="1" x14ac:dyDescent="0.3">
      <c r="A35" s="1" t="s">
        <v>147</v>
      </c>
      <c r="B35" s="38">
        <v>35</v>
      </c>
      <c r="C35" s="38"/>
      <c r="D35" s="38"/>
    </row>
    <row r="36" spans="1:6" outlineLevel="1" x14ac:dyDescent="0.25">
      <c r="A36" s="1" t="s">
        <v>151</v>
      </c>
      <c r="B36" s="46">
        <v>0.5</v>
      </c>
      <c r="C36" s="46"/>
      <c r="D36" s="46"/>
    </row>
    <row r="37" spans="1:6" outlineLevel="1" x14ac:dyDescent="0.25">
      <c r="A37" s="1" t="s">
        <v>152</v>
      </c>
      <c r="B37" s="38">
        <v>30</v>
      </c>
      <c r="C37" s="38"/>
      <c r="D37" s="38"/>
    </row>
    <row r="38" spans="1:6" outlineLevel="1" x14ac:dyDescent="0.25">
      <c r="A38" s="1" t="s">
        <v>159</v>
      </c>
      <c r="B38" s="38"/>
      <c r="C38" s="38"/>
      <c r="D38" s="38"/>
    </row>
    <row r="39" spans="1:6" ht="15.75" outlineLevel="1" x14ac:dyDescent="0.3">
      <c r="A39" s="1" t="s">
        <v>160</v>
      </c>
      <c r="B39" s="38"/>
      <c r="C39" s="38"/>
      <c r="D39" s="38"/>
    </row>
    <row r="40" spans="1:6" outlineLevel="1" x14ac:dyDescent="0.25">
      <c r="A40" s="1" t="s">
        <v>273</v>
      </c>
      <c r="B40" s="38">
        <v>1000</v>
      </c>
      <c r="C40" s="38"/>
      <c r="D40" s="38"/>
    </row>
    <row r="42" spans="1:6" ht="18" thickBot="1" x14ac:dyDescent="0.35">
      <c r="A42" s="2" t="s">
        <v>67</v>
      </c>
      <c r="B42" s="2"/>
      <c r="C42" s="2"/>
      <c r="D42" s="2"/>
      <c r="E42" s="2"/>
      <c r="F42" s="2"/>
    </row>
    <row r="43" spans="1:6" ht="15.75" outlineLevel="1" thickTop="1" x14ac:dyDescent="0.25">
      <c r="A43" s="1" t="s">
        <v>83</v>
      </c>
      <c r="B43" s="36">
        <v>7.5</v>
      </c>
      <c r="C43" s="36"/>
      <c r="D43" s="36"/>
      <c r="E43" s="36"/>
      <c r="F43" s="36"/>
    </row>
    <row r="44" spans="1:6" outlineLevel="1" x14ac:dyDescent="0.25">
      <c r="A44" s="1" t="s">
        <v>333</v>
      </c>
      <c r="B44" s="22">
        <f>IF(B43&gt;0,Forutsetninger!$D$19,0)</f>
        <v>247.08698530885721</v>
      </c>
      <c r="C44" s="38">
        <f>IF(C43&gt;0,Forutsetninger!$D$19,0)</f>
        <v>0</v>
      </c>
      <c r="D44" s="38">
        <f>IF(D43&gt;0,Forutsetninger!$D$19,0)</f>
        <v>0</v>
      </c>
      <c r="E44" s="38">
        <f>IF(E43&gt;0,Forutsetninger!$D$19,0)</f>
        <v>0</v>
      </c>
      <c r="F44" s="40"/>
    </row>
    <row r="45" spans="1:6" outlineLevel="1" x14ac:dyDescent="0.25">
      <c r="A45" s="1" t="s">
        <v>82</v>
      </c>
      <c r="B45" s="38">
        <v>100</v>
      </c>
      <c r="C45" s="38"/>
      <c r="D45" s="38"/>
      <c r="E45" s="40"/>
      <c r="F45" s="40"/>
    </row>
    <row r="46" spans="1:6" outlineLevel="1" x14ac:dyDescent="0.25">
      <c r="A46" s="1" t="s">
        <v>72</v>
      </c>
      <c r="B46" s="38">
        <v>50</v>
      </c>
      <c r="C46" s="38"/>
      <c r="D46" s="38"/>
      <c r="E46" s="40"/>
      <c r="F46" s="40"/>
    </row>
    <row r="47" spans="1:6" outlineLevel="1" x14ac:dyDescent="0.25">
      <c r="A47" s="1" t="s">
        <v>85</v>
      </c>
      <c r="B47" s="38">
        <f>IF(B43&gt;0,SUM(Forutsetninger!$D$20),0)</f>
        <v>3000</v>
      </c>
      <c r="C47" s="38">
        <f>IF(C43&gt;0,SUM(Forutsetninger!$D$20),0)</f>
        <v>0</v>
      </c>
      <c r="D47" s="38">
        <f>IF(D43&gt;0,SUM(Forutsetninger!$D$20),0)</f>
        <v>0</v>
      </c>
      <c r="E47" s="38">
        <f>IF(E43&gt;0,SUM(Forutsetninger!$D$20),0)</f>
        <v>0</v>
      </c>
      <c r="F47" s="40"/>
    </row>
    <row r="48" spans="1:6" outlineLevel="1" x14ac:dyDescent="0.25">
      <c r="A48" s="1" t="s">
        <v>73</v>
      </c>
      <c r="B48" s="38">
        <v>50000</v>
      </c>
      <c r="C48" s="38"/>
      <c r="D48" s="38"/>
      <c r="E48" s="40"/>
      <c r="F48" s="40"/>
    </row>
    <row r="49" spans="1:7" x14ac:dyDescent="0.25">
      <c r="A49" s="1"/>
      <c r="B49" s="38"/>
      <c r="C49" s="38"/>
      <c r="D49" s="38"/>
      <c r="E49" s="40"/>
      <c r="F49" s="40"/>
    </row>
    <row r="50" spans="1:7" ht="18" thickBot="1" x14ac:dyDescent="0.35">
      <c r="A50" s="2" t="s">
        <v>74</v>
      </c>
      <c r="B50" s="2"/>
      <c r="C50" s="2"/>
      <c r="D50" s="2"/>
      <c r="E50" s="2"/>
      <c r="F50" s="2"/>
    </row>
    <row r="51" spans="1:7" ht="16.5" outlineLevel="1" thickTop="1" x14ac:dyDescent="0.3">
      <c r="A51" s="1" t="s">
        <v>296</v>
      </c>
      <c r="B51" s="46">
        <f>10</f>
        <v>10</v>
      </c>
      <c r="C51" s="46"/>
      <c r="D51" s="46"/>
      <c r="E51" s="45"/>
      <c r="F51" s="45"/>
    </row>
    <row r="52" spans="1:7" ht="15.75" outlineLevel="1" x14ac:dyDescent="0.3">
      <c r="A52" s="1" t="s">
        <v>78</v>
      </c>
      <c r="B52" s="46">
        <v>0.9</v>
      </c>
      <c r="C52" s="46"/>
      <c r="D52" s="46"/>
      <c r="E52" s="40"/>
      <c r="F52" s="45"/>
    </row>
    <row r="53" spans="1:7" ht="15.75" outlineLevel="1" x14ac:dyDescent="0.3">
      <c r="A53" s="1" t="s">
        <v>104</v>
      </c>
      <c r="B53" s="44">
        <v>0.78</v>
      </c>
      <c r="C53" s="44"/>
      <c r="D53" s="44"/>
      <c r="E53" s="36"/>
      <c r="F53" s="40"/>
    </row>
    <row r="54" spans="1:7" outlineLevel="1" x14ac:dyDescent="0.25">
      <c r="A54" s="1" t="s">
        <v>106</v>
      </c>
      <c r="B54" s="46">
        <v>1</v>
      </c>
      <c r="C54" s="46"/>
      <c r="D54" s="46"/>
      <c r="E54" s="40"/>
      <c r="F54" s="36"/>
    </row>
    <row r="55" spans="1:7" x14ac:dyDescent="0.25">
      <c r="A55" s="1"/>
      <c r="B55" s="19"/>
      <c r="C55" s="19"/>
      <c r="D55" s="19"/>
      <c r="E55" s="5"/>
      <c r="F55" s="5"/>
    </row>
    <row r="56" spans="1:7" ht="18" thickBot="1" x14ac:dyDescent="0.35">
      <c r="A56" s="20" t="s">
        <v>79</v>
      </c>
      <c r="B56" s="20"/>
      <c r="C56" s="20"/>
      <c r="D56" s="20"/>
      <c r="E56" s="20"/>
      <c r="F56" s="20"/>
    </row>
    <row r="57" spans="1:7" ht="15.75" outlineLevel="1" thickTop="1" x14ac:dyDescent="0.25">
      <c r="A57" s="21" t="s">
        <v>105</v>
      </c>
      <c r="B57" s="22">
        <f>B8*B10*B9</f>
        <v>1725</v>
      </c>
      <c r="C57" s="22">
        <f>C8*C10*C9</f>
        <v>0</v>
      </c>
      <c r="D57" s="22">
        <f>D8*D10*D9</f>
        <v>0</v>
      </c>
      <c r="E57" s="23"/>
      <c r="F57" s="23"/>
      <c r="G57">
        <v>0</v>
      </c>
    </row>
    <row r="58" spans="1:7" ht="15.75" outlineLevel="1" x14ac:dyDescent="0.3">
      <c r="A58" s="21" t="s">
        <v>116</v>
      </c>
      <c r="B58" s="25">
        <f>(60/B51)*B52</f>
        <v>5.4</v>
      </c>
      <c r="C58" s="25">
        <f>IFERROR((60/C51)*C52,0)</f>
        <v>0</v>
      </c>
      <c r="D58" s="25">
        <f>IFERROR((60/D51)*D52,0)</f>
        <v>0</v>
      </c>
      <c r="E58" s="26"/>
      <c r="F58" s="26"/>
      <c r="G58">
        <v>0</v>
      </c>
    </row>
    <row r="59" spans="1:7" outlineLevel="1" x14ac:dyDescent="0.25">
      <c r="A59" s="21" t="s">
        <v>107</v>
      </c>
      <c r="B59" s="22">
        <f>Forutsetninger!$D$2/B58/B53+B54</f>
        <v>48.483380816714153</v>
      </c>
      <c r="C59" s="22">
        <f>IFERROR(Forutsetninger!$D$2/C58/C53+C54,0)</f>
        <v>0</v>
      </c>
      <c r="D59" s="22">
        <f>IFERROR(Forutsetninger!$D$2/D58/D53+D54,0)</f>
        <v>0</v>
      </c>
      <c r="E59" s="23"/>
      <c r="F59" s="23"/>
      <c r="G59">
        <v>0</v>
      </c>
    </row>
    <row r="60" spans="1:7" outlineLevel="1" x14ac:dyDescent="0.25">
      <c r="A60" s="21" t="s">
        <v>86</v>
      </c>
      <c r="B60" s="22">
        <f>B57/B59</f>
        <v>35.579202005758717</v>
      </c>
      <c r="C60" s="22">
        <f>IFERROR(C57/C59,0)</f>
        <v>0</v>
      </c>
      <c r="D60" s="22">
        <f>IFERROR(D57/D59,0)</f>
        <v>0</v>
      </c>
      <c r="E60" s="23"/>
      <c r="F60" s="23"/>
      <c r="G60">
        <v>0</v>
      </c>
    </row>
    <row r="61" spans="1:7" ht="15.75" outlineLevel="1" x14ac:dyDescent="0.3">
      <c r="A61" s="21" t="s">
        <v>80</v>
      </c>
      <c r="B61" s="22">
        <f>B8*B9*B10*B53-(B54*B60)</f>
        <v>1309.9207979942412</v>
      </c>
      <c r="C61" s="22">
        <f>IFERROR(C8*C9*C10*C53-(C54*C60),0)</f>
        <v>0</v>
      </c>
      <c r="D61" s="22">
        <f>IFERROR(D8*D9*D10*D53-(D54*D60),0)</f>
        <v>0</v>
      </c>
      <c r="E61" s="23"/>
      <c r="F61" s="23"/>
      <c r="G61">
        <v>0</v>
      </c>
    </row>
    <row r="62" spans="1:7" outlineLevel="1" x14ac:dyDescent="0.25">
      <c r="A62" s="21" t="s">
        <v>108</v>
      </c>
      <c r="B62" s="24">
        <f>B61/B57</f>
        <v>0.75937437564883548</v>
      </c>
      <c r="C62" s="24">
        <f>IFERROR(C61/C57,0)</f>
        <v>0</v>
      </c>
      <c r="D62" s="24">
        <f>IFERROR(D61/D57,0)</f>
        <v>0</v>
      </c>
      <c r="E62" s="23"/>
      <c r="F62" s="23"/>
    </row>
    <row r="63" spans="1:7" outlineLevel="1" x14ac:dyDescent="0.25">
      <c r="A63" s="21" t="s">
        <v>81</v>
      </c>
      <c r="B63" s="22">
        <f>B61*B52*60/B51</f>
        <v>7073.5723091689024</v>
      </c>
      <c r="C63" s="22">
        <f>IFERROR(C61*C52*60/C51,0)</f>
        <v>0</v>
      </c>
      <c r="D63" s="22">
        <f>IFERROR(D61*D52*60/D51,0)</f>
        <v>0</v>
      </c>
      <c r="E63" s="59"/>
      <c r="F63" s="23"/>
      <c r="G63">
        <v>0</v>
      </c>
    </row>
    <row r="64" spans="1:7" x14ac:dyDescent="0.25">
      <c r="A64" s="26"/>
      <c r="B64" s="26"/>
      <c r="C64" s="26"/>
      <c r="D64" s="26"/>
      <c r="E64" s="26"/>
      <c r="F64" s="26"/>
    </row>
    <row r="65" spans="1:7" ht="18" thickBot="1" x14ac:dyDescent="0.35">
      <c r="A65" s="20" t="s">
        <v>75</v>
      </c>
      <c r="B65" s="27">
        <f>B83</f>
        <v>1640073.684313786</v>
      </c>
      <c r="C65" s="27">
        <f>IFERROR(C83,"")</f>
        <v>0</v>
      </c>
      <c r="D65" s="27">
        <f>IFERROR(D83,"")</f>
        <v>0</v>
      </c>
      <c r="E65" s="20"/>
      <c r="F65" s="20"/>
      <c r="G65">
        <v>0</v>
      </c>
    </row>
    <row r="66" spans="1:7" ht="15.75" outlineLevel="1" thickTop="1" x14ac:dyDescent="0.25">
      <c r="A66" s="28" t="s">
        <v>77</v>
      </c>
      <c r="B66" s="22">
        <f>(B13-B30-B32-(B13*B17))/B15 + (B14-(B14*B18))/B16</f>
        <v>266000</v>
      </c>
      <c r="C66" s="22" t="str">
        <f>IFERROR((C13-C30-C32-(C13*C17))/C15 + (C14-(C14*C18))/C16," ")</f>
        <v xml:space="preserve"> </v>
      </c>
      <c r="D66" s="22" t="str">
        <f>IFERROR((D13-D30-D32-(D13*D17))/D15 + (D14-(D14*D18))/D16," ")</f>
        <v xml:space="preserve"> </v>
      </c>
      <c r="E66" s="26"/>
      <c r="F66" s="26"/>
    </row>
    <row r="67" spans="1:7" outlineLevel="1" x14ac:dyDescent="0.25">
      <c r="A67" s="28" t="s">
        <v>76</v>
      </c>
      <c r="B67" s="22">
        <f>(((B13*(B15+1))+((B13*B17)*(B15-1)))/(B15*2) + ((B14*(B16+1))+((B14*B18)*(B16-1)))/(B16*2))*Forutsetninger!$D$22</f>
        <v>120650</v>
      </c>
      <c r="C67" s="22" t="str">
        <f>IFERROR((((C13*(C15+1))+((C13*C17)*(C15-1)))/(C15*2) + ((C14*(C16+1))+((C14*C18)*(C16-1)))/(C16*2))*Forutsetninger!$D$22," ")</f>
        <v xml:space="preserve"> </v>
      </c>
      <c r="D67" s="22" t="str">
        <f>IFERROR((((D13*(D15+1))+((D13*D17)*(D15-1)))/(D15*2) + ((D14*(D16+1))+((D14*D18)*(D16-1)))/(D16*2))*Forutsetninger!$D$22," ")</f>
        <v xml:space="preserve"> </v>
      </c>
      <c r="E67" s="26"/>
      <c r="F67" s="26"/>
    </row>
    <row r="68" spans="1:7" outlineLevel="1" x14ac:dyDescent="0.25">
      <c r="A68" s="21" t="s">
        <v>96</v>
      </c>
      <c r="B68" s="22">
        <f>B20+B19</f>
        <v>39000</v>
      </c>
      <c r="C68" s="105">
        <f>C20+C19</f>
        <v>0</v>
      </c>
      <c r="D68" s="22">
        <f>D20+D19</f>
        <v>0</v>
      </c>
      <c r="E68" s="26"/>
      <c r="F68" s="26"/>
    </row>
    <row r="69" spans="1:7" outlineLevel="1" x14ac:dyDescent="0.25">
      <c r="A69" s="29" t="s">
        <v>98</v>
      </c>
      <c r="B69" s="30">
        <f>SUM(B66:B68)</f>
        <v>425650</v>
      </c>
      <c r="C69" s="30">
        <f>SUM(C66:C68)</f>
        <v>0</v>
      </c>
      <c r="D69" s="30">
        <f>SUM(D66:D68)</f>
        <v>0</v>
      </c>
      <c r="E69" s="23"/>
      <c r="F69" s="23"/>
    </row>
    <row r="70" spans="1:7" outlineLevel="1" x14ac:dyDescent="0.25">
      <c r="A70" s="21" t="s">
        <v>87</v>
      </c>
      <c r="B70" s="22">
        <f>B24*B61*Forutsetninger!$D$25</f>
        <v>145677.39227840985</v>
      </c>
      <c r="C70" s="22">
        <f>(C23*C61*Forutsetninger!$D$25)</f>
        <v>0</v>
      </c>
      <c r="D70" s="22">
        <f>D23*D61*Forutsetninger!$D$25</f>
        <v>0</v>
      </c>
      <c r="E70" s="26"/>
      <c r="F70" s="26"/>
    </row>
    <row r="71" spans="1:7" outlineLevel="1" x14ac:dyDescent="0.25">
      <c r="A71" s="28" t="s">
        <v>88</v>
      </c>
      <c r="B71" s="22">
        <f>B70*B25</f>
        <v>18355.35142707964</v>
      </c>
      <c r="C71" s="22">
        <f>IFERROR(C70*C25,"")</f>
        <v>0</v>
      </c>
      <c r="D71" s="22">
        <f>D70*D25</f>
        <v>0</v>
      </c>
      <c r="E71" s="26"/>
      <c r="F71" s="26"/>
    </row>
    <row r="72" spans="1:7" outlineLevel="1" x14ac:dyDescent="0.25">
      <c r="A72" s="28" t="s">
        <v>89</v>
      </c>
      <c r="B72" s="22">
        <f>(B13-B30-B32)*B26/B15</f>
        <v>180000</v>
      </c>
      <c r="C72" s="22" t="str">
        <f>IFERROR((C13-C30-C32)*C26/C15," ")</f>
        <v xml:space="preserve"> </v>
      </c>
      <c r="D72" s="22" t="str">
        <f>IFERROR((D13-D30-D32)*D26/D15," ")</f>
        <v xml:space="preserve"> </v>
      </c>
      <c r="E72" s="22"/>
      <c r="F72" s="26"/>
    </row>
    <row r="73" spans="1:7" outlineLevel="1" x14ac:dyDescent="0.25">
      <c r="A73" s="21" t="s">
        <v>90</v>
      </c>
      <c r="B73" s="22">
        <f>IFERROR(((B30/B31)+(B32/B33))*B61,"")</f>
        <v>38206.023274832034</v>
      </c>
      <c r="C73" s="22" t="str">
        <f>IFERROR(((C30/C31)+(C32/C33))*C61,"")</f>
        <v/>
      </c>
      <c r="D73" s="22" t="str">
        <f>IFERROR(((D30/D31)+(D32/D33))*D61,"")</f>
        <v/>
      </c>
      <c r="E73" s="22"/>
      <c r="F73" s="26"/>
    </row>
    <row r="74" spans="1:7" outlineLevel="1" x14ac:dyDescent="0.25">
      <c r="A74" s="21" t="s">
        <v>169</v>
      </c>
      <c r="B74" s="22">
        <f>IFERROR((B34/B35*B61)+B36*B37*B63,"")</f>
        <v>111717.53091465171</v>
      </c>
      <c r="C74" s="22" t="str">
        <f>IFERROR((C34/C35*C61)+C36*C37*C63,"")</f>
        <v/>
      </c>
      <c r="D74" s="22" t="str">
        <f>IFERROR((D34/D35*D61)+D36*D37*D63,"")</f>
        <v/>
      </c>
      <c r="E74" s="22"/>
      <c r="F74" s="26"/>
    </row>
    <row r="75" spans="1:7" outlineLevel="1" x14ac:dyDescent="0.25">
      <c r="A75" s="31" t="s">
        <v>97</v>
      </c>
      <c r="B75" s="30">
        <f>SUM(B70:B74)</f>
        <v>493956.29789497325</v>
      </c>
      <c r="C75" s="30">
        <f>SUM(C70:C74)</f>
        <v>0</v>
      </c>
      <c r="D75" s="30">
        <f>SUM(D70:D74)</f>
        <v>0</v>
      </c>
      <c r="E75" s="26"/>
      <c r="F75" s="26"/>
    </row>
    <row r="76" spans="1:7" outlineLevel="1" x14ac:dyDescent="0.25">
      <c r="A76" s="21" t="s">
        <v>334</v>
      </c>
      <c r="B76" s="22">
        <f>B8*B9*B43*B44</f>
        <v>426225.0496577787</v>
      </c>
      <c r="C76" s="22">
        <f>C8*C9*C43*C44</f>
        <v>0</v>
      </c>
      <c r="D76" s="22">
        <f>D8*D9*D43*D44</f>
        <v>0</v>
      </c>
      <c r="E76" s="26"/>
      <c r="F76" s="26"/>
    </row>
    <row r="77" spans="1:7" outlineLevel="1" x14ac:dyDescent="0.25">
      <c r="A77" s="21" t="s">
        <v>94</v>
      </c>
      <c r="B77" s="22">
        <f>B46*B8*B9*Forutsetninger!$D$21</f>
        <v>36800</v>
      </c>
      <c r="C77" s="22">
        <f>C46*C8*C9*Forutsetninger!$D$21</f>
        <v>0</v>
      </c>
      <c r="D77" s="22">
        <f>D46*D8*D9*Forutsetninger!$D$21</f>
        <v>0</v>
      </c>
      <c r="E77" s="26"/>
      <c r="F77" s="26"/>
    </row>
    <row r="78" spans="1:7" outlineLevel="1" x14ac:dyDescent="0.25">
      <c r="A78" s="21" t="s">
        <v>38</v>
      </c>
      <c r="B78" s="22">
        <f>B45*B8*B9+B47</f>
        <v>26000</v>
      </c>
      <c r="C78" s="22">
        <f>C45*C8*C9+C47</f>
        <v>0</v>
      </c>
      <c r="D78" s="22">
        <f>D45*D8*D9+D47</f>
        <v>0</v>
      </c>
      <c r="E78" s="22"/>
      <c r="F78" s="26"/>
    </row>
    <row r="79" spans="1:7" outlineLevel="1" x14ac:dyDescent="0.25">
      <c r="A79" s="21" t="s">
        <v>92</v>
      </c>
      <c r="B79" s="22">
        <f>B48</f>
        <v>50000</v>
      </c>
      <c r="C79" s="22">
        <f>C48</f>
        <v>0</v>
      </c>
      <c r="D79" s="22">
        <f>D48</f>
        <v>0</v>
      </c>
      <c r="E79" s="22"/>
      <c r="F79" s="26"/>
    </row>
    <row r="80" spans="1:7" outlineLevel="1" x14ac:dyDescent="0.25">
      <c r="A80" s="31" t="s">
        <v>99</v>
      </c>
      <c r="B80" s="30">
        <f>SUM(B76:B79)</f>
        <v>539025.0496577787</v>
      </c>
      <c r="C80" s="30">
        <f>SUM(C76:C79)</f>
        <v>0</v>
      </c>
      <c r="D80" s="30">
        <f>SUM(D76:D79)</f>
        <v>0</v>
      </c>
      <c r="E80" s="22"/>
      <c r="F80" s="26"/>
    </row>
    <row r="81" spans="1:7" outlineLevel="1" x14ac:dyDescent="0.25">
      <c r="A81" s="31" t="s">
        <v>112</v>
      </c>
      <c r="B81" s="30">
        <f>B40*B60</f>
        <v>35579.202005758714</v>
      </c>
      <c r="C81" s="30">
        <f>IFERROR(C40*C60,"")</f>
        <v>0</v>
      </c>
      <c r="D81" s="30">
        <f>D40*D60</f>
        <v>0</v>
      </c>
      <c r="E81" s="22"/>
      <c r="F81" s="26"/>
    </row>
    <row r="82" spans="1:7" outlineLevel="1" x14ac:dyDescent="0.25">
      <c r="A82" s="31" t="s">
        <v>109</v>
      </c>
      <c r="B82" s="30">
        <f>(B80+B75+B69)*Forutsetninger!$D24</f>
        <v>145863.13475527518</v>
      </c>
      <c r="C82" s="30">
        <f>IFERROR((C80+C75+C69)*Forutsetninger!$D24,"")</f>
        <v>0</v>
      </c>
      <c r="D82" s="30">
        <f>(D80+D75+D69)*Forutsetninger!$D24</f>
        <v>0</v>
      </c>
      <c r="E82" s="22"/>
      <c r="F82" s="26"/>
    </row>
    <row r="83" spans="1:7" ht="15.75" outlineLevel="1" thickBot="1" x14ac:dyDescent="0.3">
      <c r="A83" s="32" t="s">
        <v>100</v>
      </c>
      <c r="B83" s="33">
        <f>B69+B75+B80+B81+B82</f>
        <v>1640073.684313786</v>
      </c>
      <c r="C83" s="33">
        <f>C69+C75+C80+C81+C82</f>
        <v>0</v>
      </c>
      <c r="D83" s="33">
        <f>D69+D75+D80+D81+D82</f>
        <v>0</v>
      </c>
      <c r="E83" s="60"/>
      <c r="F83" s="34"/>
      <c r="G83">
        <v>0</v>
      </c>
    </row>
    <row r="84" spans="1:7" x14ac:dyDescent="0.25">
      <c r="A84" s="26"/>
      <c r="B84" s="22"/>
      <c r="C84" s="22"/>
      <c r="D84" s="22"/>
      <c r="E84" s="26"/>
      <c r="F84" s="26"/>
    </row>
    <row r="85" spans="1:7" ht="19.5" thickBot="1" x14ac:dyDescent="0.4">
      <c r="A85" s="20" t="s">
        <v>95</v>
      </c>
      <c r="B85" s="27">
        <f>B103</f>
        <v>1252.0403423054868</v>
      </c>
      <c r="C85" s="27" t="str">
        <f>C103</f>
        <v/>
      </c>
      <c r="D85" s="27" t="str">
        <f>D103</f>
        <v/>
      </c>
      <c r="E85" s="27" t="str">
        <f>E103</f>
        <v/>
      </c>
      <c r="F85" s="20"/>
      <c r="G85">
        <v>0</v>
      </c>
    </row>
    <row r="86" spans="1:7" ht="15.75" outlineLevel="1" thickTop="1" x14ac:dyDescent="0.25">
      <c r="A86" s="28" t="s">
        <v>77</v>
      </c>
      <c r="B86" s="22">
        <f t="shared" ref="B86:B92" si="0">B66/B$61</f>
        <v>203.06571237535951</v>
      </c>
      <c r="C86" s="22" t="str">
        <f t="shared" ref="C86:E97" si="1">IFERROR(C66/C$61,"")</f>
        <v/>
      </c>
      <c r="D86" s="22" t="str">
        <f t="shared" si="1"/>
        <v/>
      </c>
      <c r="E86" s="22" t="str">
        <f t="shared" si="1"/>
        <v/>
      </c>
      <c r="F86" s="26"/>
    </row>
    <row r="87" spans="1:7" outlineLevel="1" x14ac:dyDescent="0.25">
      <c r="A87" s="28" t="s">
        <v>76</v>
      </c>
      <c r="B87" s="22">
        <f t="shared" si="0"/>
        <v>92.104805255966639</v>
      </c>
      <c r="C87" s="22" t="str">
        <f t="shared" si="1"/>
        <v/>
      </c>
      <c r="D87" s="22" t="str">
        <f t="shared" si="1"/>
        <v/>
      </c>
      <c r="E87" s="22" t="str">
        <f t="shared" si="1"/>
        <v/>
      </c>
      <c r="F87" s="26"/>
    </row>
    <row r="88" spans="1:7" outlineLevel="1" x14ac:dyDescent="0.25">
      <c r="A88" s="21" t="s">
        <v>96</v>
      </c>
      <c r="B88" s="22">
        <f t="shared" si="0"/>
        <v>29.77279241593617</v>
      </c>
      <c r="C88" s="22" t="str">
        <f t="shared" si="1"/>
        <v/>
      </c>
      <c r="D88" s="22" t="str">
        <f t="shared" si="1"/>
        <v/>
      </c>
      <c r="E88" s="22" t="str">
        <f t="shared" si="1"/>
        <v/>
      </c>
      <c r="F88" s="26"/>
    </row>
    <row r="89" spans="1:7" outlineLevel="1" x14ac:dyDescent="0.25">
      <c r="A89" s="29" t="s">
        <v>98</v>
      </c>
      <c r="B89" s="30">
        <f t="shared" si="0"/>
        <v>324.94331004726234</v>
      </c>
      <c r="C89" s="30" t="str">
        <f t="shared" si="1"/>
        <v/>
      </c>
      <c r="D89" s="30" t="str">
        <f t="shared" si="1"/>
        <v/>
      </c>
      <c r="E89" s="30" t="str">
        <f t="shared" si="1"/>
        <v/>
      </c>
      <c r="F89" s="26"/>
    </row>
    <row r="90" spans="1:7" outlineLevel="1" x14ac:dyDescent="0.25">
      <c r="A90" s="21" t="s">
        <v>87</v>
      </c>
      <c r="B90" s="22">
        <f t="shared" si="0"/>
        <v>111.21083999999998</v>
      </c>
      <c r="C90" s="22" t="str">
        <f t="shared" si="1"/>
        <v/>
      </c>
      <c r="D90" s="22" t="str">
        <f t="shared" si="1"/>
        <v/>
      </c>
      <c r="E90" s="22" t="str">
        <f t="shared" si="1"/>
        <v/>
      </c>
      <c r="F90" s="26"/>
    </row>
    <row r="91" spans="1:7" outlineLevel="1" x14ac:dyDescent="0.25">
      <c r="A91" s="28" t="s">
        <v>88</v>
      </c>
      <c r="B91" s="22">
        <f t="shared" si="0"/>
        <v>14.012565839999997</v>
      </c>
      <c r="C91" s="22" t="str">
        <f t="shared" si="1"/>
        <v/>
      </c>
      <c r="D91" s="22" t="str">
        <f t="shared" si="1"/>
        <v/>
      </c>
      <c r="E91" s="22" t="str">
        <f t="shared" si="1"/>
        <v/>
      </c>
      <c r="F91" s="26"/>
    </row>
    <row r="92" spans="1:7" outlineLevel="1" x14ac:dyDescent="0.25">
      <c r="A92" s="28" t="s">
        <v>89</v>
      </c>
      <c r="B92" s="22">
        <f t="shared" si="0"/>
        <v>137.41288807355156</v>
      </c>
      <c r="C92" s="22" t="str">
        <f t="shared" si="1"/>
        <v/>
      </c>
      <c r="D92" s="22" t="str">
        <f t="shared" si="1"/>
        <v/>
      </c>
      <c r="E92" s="22" t="str">
        <f t="shared" si="1"/>
        <v/>
      </c>
      <c r="F92" s="26"/>
    </row>
    <row r="93" spans="1:7" outlineLevel="1" x14ac:dyDescent="0.25">
      <c r="A93" s="21" t="s">
        <v>90</v>
      </c>
      <c r="B93" s="22">
        <f>IFERROR(B73/B$61,"")</f>
        <v>29.166666666666668</v>
      </c>
      <c r="C93" s="22" t="str">
        <f t="shared" si="1"/>
        <v/>
      </c>
      <c r="D93" s="22" t="str">
        <f t="shared" si="1"/>
        <v/>
      </c>
      <c r="E93" s="22" t="str">
        <f t="shared" si="1"/>
        <v/>
      </c>
      <c r="F93" s="26"/>
    </row>
    <row r="94" spans="1:7" outlineLevel="1" x14ac:dyDescent="0.25">
      <c r="A94" s="21" t="s">
        <v>169</v>
      </c>
      <c r="B94" s="22">
        <f>IFERROR(B74/B$61,"")</f>
        <v>85.285714285714278</v>
      </c>
      <c r="C94" s="22" t="str">
        <f t="shared" si="1"/>
        <v/>
      </c>
      <c r="D94" s="22" t="str">
        <f t="shared" si="1"/>
        <v/>
      </c>
      <c r="E94" s="22" t="str">
        <f t="shared" si="1"/>
        <v/>
      </c>
      <c r="F94" s="26"/>
    </row>
    <row r="95" spans="1:7" outlineLevel="1" x14ac:dyDescent="0.25">
      <c r="A95" s="31" t="s">
        <v>97</v>
      </c>
      <c r="B95" s="30">
        <f t="shared" ref="B95:B103" si="2">B75/B$61</f>
        <v>377.08867486593249</v>
      </c>
      <c r="C95" s="30" t="str">
        <f t="shared" si="1"/>
        <v/>
      </c>
      <c r="D95" s="30" t="str">
        <f t="shared" si="1"/>
        <v/>
      </c>
      <c r="E95" s="30" t="str">
        <f t="shared" si="1"/>
        <v/>
      </c>
      <c r="F95" s="26"/>
    </row>
    <row r="96" spans="1:7" outlineLevel="1" x14ac:dyDescent="0.25">
      <c r="A96" s="21" t="s">
        <v>93</v>
      </c>
      <c r="B96" s="22">
        <f t="shared" si="2"/>
        <v>325.38230579315723</v>
      </c>
      <c r="C96" s="22" t="str">
        <f t="shared" si="1"/>
        <v/>
      </c>
      <c r="D96" s="22" t="str">
        <f t="shared" si="1"/>
        <v/>
      </c>
      <c r="E96" s="22" t="str">
        <f t="shared" si="1"/>
        <v/>
      </c>
      <c r="F96" s="26"/>
    </row>
    <row r="97" spans="1:7" outlineLevel="1" x14ac:dyDescent="0.25">
      <c r="A97" s="21" t="s">
        <v>94</v>
      </c>
      <c r="B97" s="22">
        <f t="shared" si="2"/>
        <v>28.093301561703875</v>
      </c>
      <c r="C97" s="22" t="str">
        <f t="shared" si="1"/>
        <v/>
      </c>
      <c r="D97" s="22" t="str">
        <f t="shared" si="1"/>
        <v/>
      </c>
      <c r="E97" s="22" t="str">
        <f t="shared" si="1"/>
        <v/>
      </c>
      <c r="F97" s="26"/>
    </row>
    <row r="98" spans="1:7" outlineLevel="1" x14ac:dyDescent="0.25">
      <c r="A98" s="21" t="s">
        <v>38</v>
      </c>
      <c r="B98" s="22">
        <f t="shared" si="2"/>
        <v>19.848528277290779</v>
      </c>
      <c r="C98" s="22" t="str">
        <f t="shared" ref="C98:C103" si="3">IFERROR(C78/C$61,"")</f>
        <v/>
      </c>
      <c r="D98" s="22" t="str">
        <f t="shared" ref="D98:E103" si="4">IFERROR(D78/D$61,"")</f>
        <v/>
      </c>
      <c r="E98" s="22" t="str">
        <f t="shared" si="4"/>
        <v/>
      </c>
      <c r="F98" s="26"/>
    </row>
    <row r="99" spans="1:7" outlineLevel="1" x14ac:dyDescent="0.25">
      <c r="A99" s="21" t="s">
        <v>92</v>
      </c>
      <c r="B99" s="22">
        <f t="shared" si="2"/>
        <v>38.170246687097652</v>
      </c>
      <c r="C99" s="22" t="str">
        <f t="shared" si="3"/>
        <v/>
      </c>
      <c r="D99" s="22" t="str">
        <f t="shared" si="4"/>
        <v/>
      </c>
      <c r="E99" s="22" t="str">
        <f t="shared" si="4"/>
        <v/>
      </c>
      <c r="F99" s="26"/>
    </row>
    <row r="100" spans="1:7" outlineLevel="1" x14ac:dyDescent="0.25">
      <c r="A100" s="31" t="s">
        <v>99</v>
      </c>
      <c r="B100" s="30">
        <f t="shared" si="2"/>
        <v>411.4943823192495</v>
      </c>
      <c r="C100" s="30" t="str">
        <f t="shared" si="3"/>
        <v/>
      </c>
      <c r="D100" s="30" t="str">
        <f t="shared" si="4"/>
        <v/>
      </c>
      <c r="E100" s="30" t="str">
        <f t="shared" si="4"/>
        <v/>
      </c>
      <c r="F100" s="26"/>
    </row>
    <row r="101" spans="1:7" outlineLevel="1" x14ac:dyDescent="0.25">
      <c r="A101" s="31" t="s">
        <v>112</v>
      </c>
      <c r="B101" s="30">
        <f t="shared" si="2"/>
        <v>27.161338349797795</v>
      </c>
      <c r="C101" s="30" t="str">
        <f t="shared" si="3"/>
        <v/>
      </c>
      <c r="D101" s="30" t="str">
        <f t="shared" si="4"/>
        <v/>
      </c>
      <c r="E101" s="30" t="str">
        <f t="shared" si="4"/>
        <v/>
      </c>
      <c r="F101" s="26"/>
    </row>
    <row r="102" spans="1:7" outlineLevel="1" x14ac:dyDescent="0.25">
      <c r="A102" s="31" t="s">
        <v>109</v>
      </c>
      <c r="B102" s="30">
        <f t="shared" si="2"/>
        <v>111.35263672324443</v>
      </c>
      <c r="C102" s="30" t="str">
        <f t="shared" si="3"/>
        <v/>
      </c>
      <c r="D102" s="30" t="str">
        <f t="shared" si="4"/>
        <v/>
      </c>
      <c r="E102" s="30" t="str">
        <f t="shared" si="4"/>
        <v/>
      </c>
      <c r="F102" s="26"/>
    </row>
    <row r="103" spans="1:7" ht="15.75" outlineLevel="1" thickBot="1" x14ac:dyDescent="0.3">
      <c r="A103" s="32" t="s">
        <v>101</v>
      </c>
      <c r="B103" s="33">
        <f t="shared" si="2"/>
        <v>1252.0403423054868</v>
      </c>
      <c r="C103" s="33" t="str">
        <f t="shared" si="3"/>
        <v/>
      </c>
      <c r="D103" s="33" t="str">
        <f t="shared" si="4"/>
        <v/>
      </c>
      <c r="E103" s="33" t="str">
        <f t="shared" si="4"/>
        <v/>
      </c>
      <c r="F103" s="34"/>
      <c r="G103">
        <v>0</v>
      </c>
    </row>
    <row r="104" spans="1:7" ht="15.75" x14ac:dyDescent="0.25">
      <c r="A104" s="35"/>
      <c r="B104" s="22"/>
      <c r="C104" s="22"/>
      <c r="D104" s="22"/>
      <c r="E104" s="22"/>
      <c r="F104" s="26"/>
    </row>
    <row r="105" spans="1:7" ht="19.5" thickBot="1" x14ac:dyDescent="0.35">
      <c r="A105" s="20" t="s">
        <v>102</v>
      </c>
      <c r="B105" s="27">
        <f>B123</f>
        <v>231.8593226491642</v>
      </c>
      <c r="C105" s="27" t="str">
        <f>IFERROR(C123,"")</f>
        <v/>
      </c>
      <c r="D105" s="27" t="str">
        <f>IFERROR(D123,"")</f>
        <v/>
      </c>
      <c r="E105" s="27" t="str">
        <f>IFERROR(E123,"")</f>
        <v/>
      </c>
      <c r="F105" s="20"/>
      <c r="G105">
        <v>0</v>
      </c>
    </row>
    <row r="106" spans="1:7" ht="15.75" outlineLevel="1" thickTop="1" x14ac:dyDescent="0.25">
      <c r="A106" s="28" t="s">
        <v>77</v>
      </c>
      <c r="B106" s="22">
        <f t="shared" ref="B106:B117" si="5">B66/B$63</f>
        <v>37.604761550992507</v>
      </c>
      <c r="C106" s="22" t="str">
        <f t="shared" ref="C106:E117" si="6">IFERROR(C66/C$63,"")</f>
        <v/>
      </c>
      <c r="D106" s="22" t="str">
        <f t="shared" si="6"/>
        <v/>
      </c>
      <c r="E106" s="22" t="str">
        <f t="shared" si="6"/>
        <v/>
      </c>
      <c r="F106" s="26"/>
    </row>
    <row r="107" spans="1:7" outlineLevel="1" x14ac:dyDescent="0.25">
      <c r="A107" s="28" t="s">
        <v>76</v>
      </c>
      <c r="B107" s="22">
        <f t="shared" si="5"/>
        <v>17.056445417771599</v>
      </c>
      <c r="C107" s="22" t="str">
        <f t="shared" si="6"/>
        <v/>
      </c>
      <c r="D107" s="22" t="str">
        <f t="shared" si="6"/>
        <v/>
      </c>
      <c r="E107" s="22" t="str">
        <f t="shared" si="6"/>
        <v/>
      </c>
      <c r="F107" s="26"/>
    </row>
    <row r="108" spans="1:7" outlineLevel="1" x14ac:dyDescent="0.25">
      <c r="A108" s="21" t="s">
        <v>96</v>
      </c>
      <c r="B108" s="22">
        <f t="shared" si="5"/>
        <v>5.5134800770252168</v>
      </c>
      <c r="C108" s="22" t="str">
        <f t="shared" si="6"/>
        <v/>
      </c>
      <c r="D108" s="22" t="str">
        <f t="shared" si="6"/>
        <v/>
      </c>
      <c r="E108" s="22" t="str">
        <f t="shared" si="6"/>
        <v/>
      </c>
      <c r="F108" s="26"/>
    </row>
    <row r="109" spans="1:7" outlineLevel="1" x14ac:dyDescent="0.25">
      <c r="A109" s="29" t="s">
        <v>98</v>
      </c>
      <c r="B109" s="30">
        <f t="shared" si="5"/>
        <v>60.174687045789319</v>
      </c>
      <c r="C109" s="30" t="str">
        <f t="shared" si="6"/>
        <v/>
      </c>
      <c r="D109" s="30" t="str">
        <f t="shared" si="6"/>
        <v/>
      </c>
      <c r="E109" s="30" t="str">
        <f t="shared" si="6"/>
        <v/>
      </c>
      <c r="F109" s="26"/>
    </row>
    <row r="110" spans="1:7" outlineLevel="1" x14ac:dyDescent="0.25">
      <c r="A110" s="21" t="s">
        <v>87</v>
      </c>
      <c r="B110" s="22">
        <f t="shared" si="5"/>
        <v>20.594599999999996</v>
      </c>
      <c r="C110" s="22" t="str">
        <f t="shared" si="6"/>
        <v/>
      </c>
      <c r="D110" s="22" t="str">
        <f t="shared" si="6"/>
        <v/>
      </c>
      <c r="E110" s="22" t="str">
        <f t="shared" si="6"/>
        <v/>
      </c>
      <c r="F110" s="26"/>
    </row>
    <row r="111" spans="1:7" outlineLevel="1" x14ac:dyDescent="0.25">
      <c r="A111" s="28" t="s">
        <v>88</v>
      </c>
      <c r="B111" s="22">
        <f t="shared" si="5"/>
        <v>2.5949195999999994</v>
      </c>
      <c r="C111" s="22" t="str">
        <f t="shared" si="6"/>
        <v/>
      </c>
      <c r="D111" s="22" t="str">
        <f t="shared" si="6"/>
        <v/>
      </c>
      <c r="E111" s="22" t="str">
        <f t="shared" si="6"/>
        <v/>
      </c>
      <c r="F111" s="26"/>
    </row>
    <row r="112" spans="1:7" outlineLevel="1" x14ac:dyDescent="0.25">
      <c r="A112" s="28" t="s">
        <v>89</v>
      </c>
      <c r="B112" s="22">
        <f t="shared" si="5"/>
        <v>25.446831124731769</v>
      </c>
      <c r="C112" s="22" t="str">
        <f t="shared" si="6"/>
        <v/>
      </c>
      <c r="D112" s="22" t="str">
        <f t="shared" si="6"/>
        <v/>
      </c>
      <c r="E112" s="22" t="str">
        <f t="shared" si="6"/>
        <v/>
      </c>
      <c r="F112" s="26"/>
    </row>
    <row r="113" spans="1:7" outlineLevel="1" x14ac:dyDescent="0.25">
      <c r="A113" s="21" t="s">
        <v>90</v>
      </c>
      <c r="B113" s="22">
        <f t="shared" si="5"/>
        <v>5.4012345679012341</v>
      </c>
      <c r="C113" s="22" t="str">
        <f t="shared" si="6"/>
        <v/>
      </c>
      <c r="D113" s="22" t="str">
        <f t="shared" si="6"/>
        <v/>
      </c>
      <c r="E113" s="22" t="str">
        <f t="shared" si="6"/>
        <v/>
      </c>
      <c r="F113" s="26"/>
    </row>
    <row r="114" spans="1:7" outlineLevel="1" x14ac:dyDescent="0.25">
      <c r="A114" s="21" t="s">
        <v>169</v>
      </c>
      <c r="B114" s="22">
        <f t="shared" si="5"/>
        <v>15.793650793650793</v>
      </c>
      <c r="C114" s="22" t="str">
        <f t="shared" si="6"/>
        <v/>
      </c>
      <c r="D114" s="22" t="str">
        <f t="shared" si="6"/>
        <v/>
      </c>
      <c r="E114" s="22" t="str">
        <f t="shared" si="6"/>
        <v/>
      </c>
      <c r="F114" s="26"/>
    </row>
    <row r="115" spans="1:7" outlineLevel="1" x14ac:dyDescent="0.25">
      <c r="A115" s="31" t="s">
        <v>97</v>
      </c>
      <c r="B115" s="30">
        <f t="shared" si="5"/>
        <v>69.831236086283795</v>
      </c>
      <c r="C115" s="30" t="str">
        <f t="shared" si="6"/>
        <v/>
      </c>
      <c r="D115" s="30" t="str">
        <f t="shared" si="6"/>
        <v/>
      </c>
      <c r="E115" s="30" t="str">
        <f t="shared" si="6"/>
        <v/>
      </c>
      <c r="F115" s="26"/>
    </row>
    <row r="116" spans="1:7" outlineLevel="1" x14ac:dyDescent="0.25">
      <c r="A116" s="21" t="s">
        <v>93</v>
      </c>
      <c r="B116" s="22">
        <f t="shared" si="5"/>
        <v>60.255982554288373</v>
      </c>
      <c r="C116" s="22" t="str">
        <f t="shared" si="6"/>
        <v/>
      </c>
      <c r="D116" s="22" t="str">
        <f t="shared" si="6"/>
        <v/>
      </c>
      <c r="E116" s="22" t="str">
        <f t="shared" si="6"/>
        <v/>
      </c>
      <c r="F116" s="26"/>
    </row>
    <row r="117" spans="1:7" outlineLevel="1" x14ac:dyDescent="0.25">
      <c r="A117" s="21" t="s">
        <v>94</v>
      </c>
      <c r="B117" s="22">
        <f t="shared" si="5"/>
        <v>5.2024632521673837</v>
      </c>
      <c r="C117" s="22" t="str">
        <f t="shared" si="6"/>
        <v/>
      </c>
      <c r="D117" s="22" t="str">
        <f t="shared" si="6"/>
        <v/>
      </c>
      <c r="E117" s="22" t="str">
        <f t="shared" si="6"/>
        <v/>
      </c>
      <c r="F117" s="26"/>
    </row>
    <row r="118" spans="1:7" outlineLevel="1" x14ac:dyDescent="0.25">
      <c r="A118" s="21" t="s">
        <v>38</v>
      </c>
      <c r="B118" s="22">
        <f t="shared" ref="B118:B123" si="7">B78/B$63</f>
        <v>3.675653384683478</v>
      </c>
      <c r="C118" s="22" t="str">
        <f t="shared" ref="C118:C123" si="8">IFERROR(C78/C$63,"")</f>
        <v/>
      </c>
      <c r="D118" s="22" t="str">
        <f t="shared" ref="D118:E123" si="9">IFERROR(D78/D$63,"")</f>
        <v/>
      </c>
      <c r="E118" s="22" t="str">
        <f t="shared" si="9"/>
        <v/>
      </c>
      <c r="F118" s="26"/>
    </row>
    <row r="119" spans="1:7" outlineLevel="1" x14ac:dyDescent="0.25">
      <c r="A119" s="21" t="s">
        <v>92</v>
      </c>
      <c r="B119" s="22">
        <f t="shared" si="7"/>
        <v>7.0685642013143806</v>
      </c>
      <c r="C119" s="22" t="str">
        <f t="shared" si="8"/>
        <v/>
      </c>
      <c r="D119" s="22" t="str">
        <f t="shared" si="9"/>
        <v/>
      </c>
      <c r="E119" s="22" t="str">
        <f t="shared" si="9"/>
        <v/>
      </c>
      <c r="F119" s="26"/>
    </row>
    <row r="120" spans="1:7" outlineLevel="1" x14ac:dyDescent="0.25">
      <c r="A120" s="31" t="s">
        <v>99</v>
      </c>
      <c r="B120" s="30">
        <f t="shared" si="7"/>
        <v>76.202663392453616</v>
      </c>
      <c r="C120" s="30" t="str">
        <f t="shared" si="8"/>
        <v/>
      </c>
      <c r="D120" s="30" t="str">
        <f t="shared" si="9"/>
        <v/>
      </c>
      <c r="E120" s="30" t="str">
        <f t="shared" si="9"/>
        <v/>
      </c>
      <c r="F120" s="26"/>
    </row>
    <row r="121" spans="1:7" outlineLevel="1" x14ac:dyDescent="0.25">
      <c r="A121" s="31" t="s">
        <v>112</v>
      </c>
      <c r="B121" s="30">
        <f t="shared" si="7"/>
        <v>5.0298774721847765</v>
      </c>
      <c r="C121" s="30" t="str">
        <f t="shared" si="8"/>
        <v/>
      </c>
      <c r="D121" s="30" t="str">
        <f t="shared" si="9"/>
        <v/>
      </c>
      <c r="E121" s="30" t="str">
        <f t="shared" si="9"/>
        <v/>
      </c>
      <c r="F121" s="26"/>
    </row>
    <row r="122" spans="1:7" outlineLevel="1" x14ac:dyDescent="0.25">
      <c r="A122" s="31" t="s">
        <v>109</v>
      </c>
      <c r="B122" s="30">
        <f t="shared" si="7"/>
        <v>20.620858652452672</v>
      </c>
      <c r="C122" s="30" t="str">
        <f t="shared" si="8"/>
        <v/>
      </c>
      <c r="D122" s="30" t="str">
        <f t="shared" si="9"/>
        <v/>
      </c>
      <c r="E122" s="30" t="str">
        <f t="shared" si="9"/>
        <v/>
      </c>
      <c r="F122" s="26"/>
    </row>
    <row r="123" spans="1:7" ht="15.75" outlineLevel="1" thickBot="1" x14ac:dyDescent="0.3">
      <c r="A123" s="32" t="s">
        <v>103</v>
      </c>
      <c r="B123" s="33">
        <f t="shared" si="7"/>
        <v>231.8593226491642</v>
      </c>
      <c r="C123" s="33" t="str">
        <f t="shared" si="8"/>
        <v/>
      </c>
      <c r="D123" s="33" t="str">
        <f t="shared" si="9"/>
        <v/>
      </c>
      <c r="E123" s="33" t="str">
        <f t="shared" si="9"/>
        <v/>
      </c>
      <c r="F123" s="34"/>
      <c r="G123">
        <v>0</v>
      </c>
    </row>
    <row r="124" spans="1:7" x14ac:dyDescent="0.25">
      <c r="A124" s="26"/>
      <c r="B124" s="26"/>
      <c r="C124" s="26"/>
      <c r="D124" s="26"/>
      <c r="E124" s="26"/>
      <c r="F124" s="26"/>
    </row>
    <row r="125" spans="1:7" ht="18" thickBot="1" x14ac:dyDescent="0.35">
      <c r="A125" s="2" t="s">
        <v>110</v>
      </c>
      <c r="B125" s="2"/>
      <c r="C125" s="2"/>
      <c r="D125" s="2"/>
      <c r="E125" s="2"/>
      <c r="F125" s="2"/>
    </row>
    <row r="126" spans="1:7" ht="18.75" thickTop="1" x14ac:dyDescent="0.35">
      <c r="A126" s="26" t="s">
        <v>119</v>
      </c>
      <c r="B126" s="106">
        <f>IFERROR(B15*B61,"")</f>
        <v>13099.207979942412</v>
      </c>
      <c r="C126" s="106">
        <f>IFERROR(C15*C61,"")</f>
        <v>0</v>
      </c>
      <c r="D126" s="106">
        <f>IFERROR(D15*D61,"")</f>
        <v>0</v>
      </c>
      <c r="E126" s="26"/>
      <c r="F126" s="26"/>
    </row>
    <row r="127" spans="1:7" x14ac:dyDescent="0.25">
      <c r="A127" s="26" t="s">
        <v>111</v>
      </c>
      <c r="B127" s="25">
        <f>IFERROR(B24/B52*B51/60,"")</f>
        <v>2.2882888888888884</v>
      </c>
      <c r="C127" s="25" t="str">
        <f>IFERROR(C23/C52*C51/60,"")</f>
        <v/>
      </c>
      <c r="D127" s="25" t="str">
        <f>IFERROR(D23/D52*D51/60,"")</f>
        <v/>
      </c>
      <c r="E127" s="25"/>
      <c r="F127" s="26"/>
    </row>
    <row r="128" spans="1:7" x14ac:dyDescent="0.25">
      <c r="F128" s="17"/>
    </row>
    <row r="133" spans="1:6" x14ac:dyDescent="0.25">
      <c r="A133" s="1"/>
      <c r="B133" s="44"/>
      <c r="C133" s="44"/>
      <c r="D133" s="44"/>
      <c r="E133" s="40"/>
      <c r="F133" s="40"/>
    </row>
  </sheetData>
  <conditionalFormatting sqref="C66:D83">
    <cfRule type="cellIs" dxfId="19" priority="10" operator="lessThan">
      <formula>1</formula>
    </cfRule>
  </conditionalFormatting>
  <conditionalFormatting sqref="C45:D46 C48:D48 B47:E47">
    <cfRule type="cellIs" dxfId="18" priority="9" operator="lessThan">
      <formula>1</formula>
    </cfRule>
  </conditionalFormatting>
  <conditionalFormatting sqref="C44:E44">
    <cfRule type="cellIs" dxfId="17" priority="8" operator="lessThan">
      <formula>1</formula>
    </cfRule>
  </conditionalFormatting>
  <conditionalFormatting sqref="C2:D3">
    <cfRule type="cellIs" dxfId="16" priority="6" operator="lessThan">
      <formula>1</formula>
    </cfRule>
  </conditionalFormatting>
  <conditionalFormatting sqref="C57:D61">
    <cfRule type="cellIs" dxfId="15" priority="5" operator="lessThan">
      <formula>1</formula>
    </cfRule>
  </conditionalFormatting>
  <conditionalFormatting sqref="C62:D62">
    <cfRule type="cellIs" dxfId="14" priority="4" operator="lessThan">
      <formula>0.01</formula>
    </cfRule>
  </conditionalFormatting>
  <conditionalFormatting sqref="C63:D65">
    <cfRule type="cellIs" dxfId="13" priority="3" operator="lessThan">
      <formula>1</formula>
    </cfRule>
  </conditionalFormatting>
  <conditionalFormatting sqref="C126:D127">
    <cfRule type="cellIs" dxfId="12" priority="2" operator="lessThan">
      <formula>0.5</formula>
    </cfRule>
  </conditionalFormatting>
  <conditionalFormatting sqref="C24:F24">
    <cfRule type="cellIs" dxfId="11" priority="1" operator="lessThan">
      <formula>0.1</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1"/>
  <dimension ref="A1:AC135"/>
  <sheetViews>
    <sheetView workbookViewId="0">
      <pane xSplit="1" ySplit="1" topLeftCell="B2" activePane="bottomRight" state="frozen"/>
      <selection pane="topRight" activeCell="B1" sqref="B1"/>
      <selection pane="bottomLeft" activeCell="A2" sqref="A2"/>
      <selection pane="bottomRight" activeCell="A30" sqref="A30"/>
    </sheetView>
  </sheetViews>
  <sheetFormatPr baseColWidth="10" defaultRowHeight="15" outlineLevelRow="2" x14ac:dyDescent="0.25"/>
  <cols>
    <col min="1" max="1" width="51.5703125" customWidth="1"/>
    <col min="2" max="2" width="17.140625" bestFit="1" customWidth="1"/>
    <col min="3" max="3" width="15.85546875" customWidth="1"/>
    <col min="4" max="4" width="16.28515625" bestFit="1" customWidth="1"/>
    <col min="11" max="11" width="11.42578125" style="110"/>
  </cols>
  <sheetData>
    <row r="1" spans="1:29" ht="18" thickBot="1" x14ac:dyDescent="0.35">
      <c r="A1" s="2" t="s">
        <v>51</v>
      </c>
      <c r="B1" s="2" t="s">
        <v>134</v>
      </c>
      <c r="C1" s="2" t="s">
        <v>300</v>
      </c>
      <c r="D1" s="2" t="s">
        <v>135</v>
      </c>
      <c r="E1" s="2" t="s">
        <v>195</v>
      </c>
      <c r="F1" s="2" t="s">
        <v>301</v>
      </c>
      <c r="G1" s="2" t="s">
        <v>136</v>
      </c>
      <c r="H1" s="160" t="s">
        <v>362</v>
      </c>
      <c r="I1" s="160" t="s">
        <v>362</v>
      </c>
      <c r="J1" s="160" t="s">
        <v>362</v>
      </c>
      <c r="K1" s="144" t="s">
        <v>196</v>
      </c>
      <c r="AB1" t="s">
        <v>121</v>
      </c>
    </row>
    <row r="2" spans="1:29" ht="18" thickTop="1" x14ac:dyDescent="0.3">
      <c r="C2" s="63"/>
      <c r="D2" t="s">
        <v>263</v>
      </c>
      <c r="E2" s="63"/>
      <c r="F2" s="63"/>
      <c r="G2" s="63"/>
      <c r="H2" s="63"/>
      <c r="I2" s="63"/>
      <c r="J2" s="63"/>
    </row>
    <row r="3" spans="1:29" outlineLevel="1" x14ac:dyDescent="0.25">
      <c r="A3" s="36" t="s">
        <v>10</v>
      </c>
      <c r="B3" s="37">
        <v>100</v>
      </c>
      <c r="C3" s="37">
        <v>150</v>
      </c>
      <c r="D3" s="37">
        <v>186</v>
      </c>
      <c r="E3" s="36">
        <v>100</v>
      </c>
      <c r="F3" s="37">
        <v>150</v>
      </c>
      <c r="G3" s="37">
        <v>186</v>
      </c>
      <c r="H3" s="37"/>
      <c r="I3" s="37"/>
      <c r="J3" s="37"/>
      <c r="AB3" t="str">
        <f>B1</f>
        <v>Liten LB heltre</v>
      </c>
      <c r="AC3" t="str">
        <f>IFERROR(INDEX(AB$3:AB$12, MATCH(0,INDEX(COUNTIF(AC$2:AC2, AB$3:AB$12), 0,0),0)),"")</f>
        <v>Liten LB heltre</v>
      </c>
    </row>
    <row r="4" spans="1:29" outlineLevel="1" x14ac:dyDescent="0.25">
      <c r="A4" s="36" t="s">
        <v>115</v>
      </c>
      <c r="B4" s="37">
        <v>12</v>
      </c>
      <c r="C4" s="37">
        <v>18</v>
      </c>
      <c r="D4" s="37">
        <v>22</v>
      </c>
      <c r="E4" s="36">
        <v>12</v>
      </c>
      <c r="F4" s="37">
        <v>15</v>
      </c>
      <c r="G4" s="37">
        <v>22</v>
      </c>
      <c r="H4" s="37"/>
      <c r="I4" s="37"/>
      <c r="J4" s="37"/>
      <c r="AB4" t="str">
        <f>C1</f>
        <v>Medium LB heltre</v>
      </c>
      <c r="AC4" t="str">
        <f>IFERROR(INDEX(AB$3:AB$12, MATCH(0,INDEX(COUNTIF(AC$2:AC3, AB$3:AB$12), 0,0),0)),"")</f>
        <v>Medium LB heltre</v>
      </c>
    </row>
    <row r="5" spans="1:29" outlineLevel="1" x14ac:dyDescent="0.25">
      <c r="A5" s="36" t="s">
        <v>128</v>
      </c>
      <c r="B5" s="37">
        <v>3.4</v>
      </c>
      <c r="C5" s="37">
        <v>4.0999999999999996</v>
      </c>
      <c r="D5" s="37">
        <v>5.3</v>
      </c>
      <c r="E5" s="36">
        <v>3.4</v>
      </c>
      <c r="F5" s="37">
        <v>4.0999999999999996</v>
      </c>
      <c r="G5" s="37">
        <v>5.3</v>
      </c>
      <c r="H5" s="37"/>
      <c r="I5" s="37"/>
      <c r="J5" s="37"/>
      <c r="AB5" t="str">
        <f>D1</f>
        <v>Stor LB heltre</v>
      </c>
      <c r="AC5" t="str">
        <f>IFERROR(INDEX(AB$3:AB$12, MATCH(0,INDEX(COUNTIF(AC$2:AC4, AB$3:AB$12), 0,0),0)),"")</f>
        <v>Stor LB heltre</v>
      </c>
    </row>
    <row r="6" spans="1:29" outlineLevel="1" x14ac:dyDescent="0.25">
      <c r="A6" s="36" t="s">
        <v>129</v>
      </c>
      <c r="B6" s="37">
        <v>1.5</v>
      </c>
      <c r="C6" s="37">
        <v>2.1</v>
      </c>
      <c r="D6" s="37">
        <v>2.5</v>
      </c>
      <c r="E6" s="36">
        <v>1.5</v>
      </c>
      <c r="F6" s="37">
        <v>2.1</v>
      </c>
      <c r="G6" s="37">
        <v>2.5</v>
      </c>
      <c r="H6" s="37"/>
      <c r="I6" s="37"/>
      <c r="J6" s="37"/>
      <c r="AB6" t="str">
        <f>E1</f>
        <v>Liten LB bunter</v>
      </c>
      <c r="AC6" t="str">
        <f>IFERROR(INDEX(AB$3:AB$12, MATCH(0,INDEX(COUNTIF(AC$2:AC5, AB$3:AB$12), 0,0),0)),"")</f>
        <v>Liten LB bunter</v>
      </c>
    </row>
    <row r="7" spans="1:29" outlineLevel="1" x14ac:dyDescent="0.25">
      <c r="A7" s="36" t="s">
        <v>130</v>
      </c>
      <c r="B7" s="37">
        <v>6</v>
      </c>
      <c r="C7" s="37">
        <v>6</v>
      </c>
      <c r="D7" s="37">
        <v>6</v>
      </c>
      <c r="E7" s="36">
        <v>6</v>
      </c>
      <c r="F7" s="37">
        <v>6</v>
      </c>
      <c r="G7" s="37">
        <v>6</v>
      </c>
      <c r="H7" s="37"/>
      <c r="I7" s="37"/>
      <c r="J7" s="37"/>
      <c r="AB7" t="str">
        <f>F1</f>
        <v>Medium LB bunter</v>
      </c>
      <c r="AC7" t="str">
        <f>IFERROR(INDEX(AB$3:AB$12, MATCH(0,INDEX(COUNTIF(AC$2:AC6, AB$3:AB$12), 0,0),0)),"")</f>
        <v>Medium LB bunter</v>
      </c>
    </row>
    <row r="8" spans="1:29" ht="17.25" outlineLevel="1" x14ac:dyDescent="0.25">
      <c r="A8" s="36" t="s">
        <v>127</v>
      </c>
      <c r="B8" s="29">
        <f t="shared" ref="B8:G8" si="0">(B5+B6)*B7</f>
        <v>29.400000000000002</v>
      </c>
      <c r="C8" s="29">
        <f t="shared" si="0"/>
        <v>37.199999999999996</v>
      </c>
      <c r="D8" s="29">
        <f t="shared" si="0"/>
        <v>46.8</v>
      </c>
      <c r="E8" s="29">
        <f t="shared" si="0"/>
        <v>29.400000000000002</v>
      </c>
      <c r="F8" s="29">
        <f t="shared" si="0"/>
        <v>37.199999999999996</v>
      </c>
      <c r="G8" s="29">
        <f t="shared" si="0"/>
        <v>46.8</v>
      </c>
      <c r="H8" s="29"/>
      <c r="I8" s="29"/>
      <c r="J8" s="29"/>
      <c r="AB8" t="str">
        <f>G1</f>
        <v>Stor LB bunter</v>
      </c>
      <c r="AC8" t="str">
        <f>IFERROR(INDEX(AB$3:AB$12, MATCH(0,INDEX(COUNTIF(AC$2:AC7, AB$3:AB$12), 0,0),0)),"")</f>
        <v>Stor LB bunter</v>
      </c>
    </row>
    <row r="9" spans="1:29" outlineLevel="1" x14ac:dyDescent="0.25">
      <c r="A9" s="36" t="s">
        <v>122</v>
      </c>
      <c r="B9" s="37">
        <v>9</v>
      </c>
      <c r="C9" s="37">
        <v>13</v>
      </c>
      <c r="D9" s="37">
        <v>19</v>
      </c>
      <c r="E9" s="36">
        <v>9</v>
      </c>
      <c r="F9" s="37">
        <v>13</v>
      </c>
      <c r="G9" s="37">
        <v>19</v>
      </c>
      <c r="H9" s="37"/>
      <c r="I9" s="37"/>
      <c r="J9" s="37"/>
      <c r="AB9" t="str">
        <f>H1</f>
        <v/>
      </c>
      <c r="AC9" t="str">
        <f>IFERROR(INDEX(AB$3:AB$12, MATCH(0,INDEX(COUNTIF(AC$2:AC8, AB$3:AB$12), 0,0),0)),"")</f>
        <v>Ingen</v>
      </c>
    </row>
    <row r="10" spans="1:29" outlineLevel="1" x14ac:dyDescent="0.25">
      <c r="A10" s="36" t="s">
        <v>137</v>
      </c>
      <c r="B10" s="51">
        <f>Forutsetninger!$D28</f>
        <v>0.2</v>
      </c>
      <c r="C10" s="51">
        <f>Forutsetninger!$D28</f>
        <v>0.2</v>
      </c>
      <c r="D10" s="51">
        <f>Forutsetninger!$D28</f>
        <v>0.2</v>
      </c>
      <c r="E10" s="51">
        <f>Forutsetninger!$D32</f>
        <v>0.3</v>
      </c>
      <c r="F10" s="51">
        <f>Forutsetninger!$D32</f>
        <v>0.3</v>
      </c>
      <c r="G10" s="51">
        <f>Forutsetninger!$D32</f>
        <v>0.3</v>
      </c>
      <c r="H10" s="51"/>
      <c r="I10" s="51"/>
      <c r="J10" s="51"/>
      <c r="AB10" t="str">
        <f>I1</f>
        <v/>
      </c>
      <c r="AC10" t="str">
        <f>IFERROR(INDEX(AB$3:AB$12, MATCH(0,INDEX(COUNTIF(AC$2:AC9, AB$3:AB$12), 0,0),0)),"")</f>
        <v/>
      </c>
    </row>
    <row r="11" spans="1:29" outlineLevel="1" x14ac:dyDescent="0.25">
      <c r="A11" s="36" t="s">
        <v>138</v>
      </c>
      <c r="B11" s="51">
        <f>Forutsetninger!$D33</f>
        <v>0.5</v>
      </c>
      <c r="C11" s="51">
        <f>Forutsetninger!$D33</f>
        <v>0.5</v>
      </c>
      <c r="D11" s="51">
        <f>Forutsetninger!$D33</f>
        <v>0.5</v>
      </c>
      <c r="E11" s="51">
        <f>Forutsetninger!$D33</f>
        <v>0.5</v>
      </c>
      <c r="F11" s="51">
        <f>Forutsetninger!$D33</f>
        <v>0.5</v>
      </c>
      <c r="G11" s="51">
        <f>Forutsetninger!$D33</f>
        <v>0.5</v>
      </c>
      <c r="H11" s="51"/>
      <c r="I11" s="51"/>
      <c r="J11" s="51"/>
      <c r="AB11" t="str">
        <f>J1</f>
        <v/>
      </c>
      <c r="AC11" t="str">
        <f>IFERROR(INDEX(AB$3:AB$12, MATCH(0,INDEX(COUNTIF(AC$2:AC10, AB$3:AB$12), 0,0),0)),"")</f>
        <v/>
      </c>
    </row>
    <row r="12" spans="1:29" x14ac:dyDescent="0.25">
      <c r="A12" s="36"/>
      <c r="B12" s="19"/>
      <c r="C12" s="19"/>
      <c r="D12" s="19"/>
      <c r="E12" s="19"/>
      <c r="F12" s="19"/>
      <c r="G12" s="19"/>
      <c r="H12" s="19"/>
      <c r="I12" s="19"/>
      <c r="J12" s="19"/>
      <c r="AB12" t="str">
        <f>K1</f>
        <v>Ingen</v>
      </c>
      <c r="AC12" t="str">
        <f>IFERROR(INDEX(AB$3:AB$12, MATCH(0,INDEX(COUNTIF(AC$2:AC11, AB$3:AB$12), 0,0),0)),"")</f>
        <v/>
      </c>
    </row>
    <row r="13" spans="1:29" ht="18" thickBot="1" x14ac:dyDescent="0.35">
      <c r="A13" s="2" t="s">
        <v>143</v>
      </c>
      <c r="B13" s="2"/>
      <c r="C13" s="2"/>
      <c r="D13" s="2"/>
      <c r="E13" s="2"/>
      <c r="F13" s="2"/>
      <c r="G13" s="2"/>
      <c r="H13" s="2"/>
      <c r="I13" s="2"/>
      <c r="J13" s="2"/>
    </row>
    <row r="14" spans="1:29" ht="15.75" outlineLevel="1" thickTop="1" x14ac:dyDescent="0.25">
      <c r="A14" s="1" t="s">
        <v>36</v>
      </c>
      <c r="B14" s="36">
        <v>230</v>
      </c>
      <c r="C14" s="36">
        <v>230</v>
      </c>
      <c r="D14" s="36">
        <v>230</v>
      </c>
      <c r="E14" s="36">
        <v>230</v>
      </c>
      <c r="F14" s="36">
        <v>230</v>
      </c>
      <c r="G14" s="36">
        <v>230</v>
      </c>
      <c r="H14" s="36"/>
      <c r="I14" s="36"/>
      <c r="J14" s="36"/>
    </row>
    <row r="15" spans="1:29" outlineLevel="1" x14ac:dyDescent="0.25">
      <c r="A15" s="1" t="s">
        <v>68</v>
      </c>
      <c r="B15" s="36">
        <v>1</v>
      </c>
      <c r="C15" s="36">
        <v>1</v>
      </c>
      <c r="D15" s="36">
        <v>1</v>
      </c>
      <c r="E15" s="36">
        <v>1</v>
      </c>
      <c r="F15" s="36">
        <v>1</v>
      </c>
      <c r="G15" s="36">
        <v>1</v>
      </c>
      <c r="H15" s="36"/>
      <c r="I15" s="36"/>
      <c r="J15" s="36"/>
    </row>
    <row r="16" spans="1:29" outlineLevel="1" x14ac:dyDescent="0.25">
      <c r="A16" s="1" t="s">
        <v>117</v>
      </c>
      <c r="B16" s="36">
        <v>7.5</v>
      </c>
      <c r="C16" s="36">
        <v>7.5</v>
      </c>
      <c r="D16" s="36">
        <v>7.5</v>
      </c>
      <c r="E16" s="36">
        <v>7.5</v>
      </c>
      <c r="F16" s="36">
        <v>7.5</v>
      </c>
      <c r="G16" s="36">
        <v>7.5</v>
      </c>
      <c r="H16" s="36"/>
      <c r="I16" s="36"/>
      <c r="J16" s="36"/>
    </row>
    <row r="17" spans="1:10" x14ac:dyDescent="0.25">
      <c r="A17" s="36"/>
      <c r="B17" s="37"/>
      <c r="C17" s="37"/>
      <c r="D17" s="37"/>
      <c r="E17" s="36"/>
      <c r="F17" s="36"/>
      <c r="G17" s="36"/>
      <c r="H17" s="36"/>
      <c r="I17" s="36"/>
      <c r="J17" s="36"/>
    </row>
    <row r="18" spans="1:10" ht="18" thickBot="1" x14ac:dyDescent="0.35">
      <c r="A18" s="2" t="s">
        <v>52</v>
      </c>
      <c r="B18" s="2"/>
      <c r="C18" s="2"/>
      <c r="D18" s="2"/>
      <c r="E18" s="2"/>
      <c r="F18" s="2"/>
      <c r="G18" s="2"/>
      <c r="H18" s="2"/>
      <c r="I18" s="2"/>
      <c r="J18" s="2"/>
    </row>
    <row r="19" spans="1:10" ht="15.75" outlineLevel="1" thickTop="1" x14ac:dyDescent="0.25">
      <c r="A19" s="1" t="s">
        <v>5</v>
      </c>
      <c r="B19" s="38">
        <v>2000000</v>
      </c>
      <c r="C19" s="38">
        <v>2300000</v>
      </c>
      <c r="D19" s="38">
        <v>2600000</v>
      </c>
      <c r="E19" s="38">
        <v>2000000</v>
      </c>
      <c r="F19" s="38">
        <v>2300000</v>
      </c>
      <c r="G19" s="38">
        <v>2600000</v>
      </c>
      <c r="H19" s="38"/>
      <c r="I19" s="38"/>
      <c r="J19" s="38"/>
    </row>
    <row r="20" spans="1:10" outlineLevel="1" x14ac:dyDescent="0.25">
      <c r="A20" s="1" t="s">
        <v>8</v>
      </c>
      <c r="B20" s="38">
        <v>0</v>
      </c>
      <c r="C20" s="38">
        <v>0</v>
      </c>
      <c r="D20" s="38">
        <v>0</v>
      </c>
      <c r="E20" s="38">
        <v>0</v>
      </c>
      <c r="F20" s="38">
        <v>0</v>
      </c>
      <c r="G20" s="38">
        <v>0</v>
      </c>
      <c r="H20" s="38"/>
      <c r="I20" s="38"/>
      <c r="J20" s="38"/>
    </row>
    <row r="21" spans="1:10" outlineLevel="1" x14ac:dyDescent="0.25">
      <c r="A21" s="1" t="s">
        <v>6</v>
      </c>
      <c r="B21" s="39">
        <v>10</v>
      </c>
      <c r="C21" s="39">
        <v>10</v>
      </c>
      <c r="D21" s="39">
        <v>10</v>
      </c>
      <c r="E21" s="39">
        <v>10</v>
      </c>
      <c r="F21" s="39">
        <v>10</v>
      </c>
      <c r="G21" s="39">
        <v>10</v>
      </c>
      <c r="H21" s="39"/>
      <c r="I21" s="39"/>
      <c r="J21" s="39"/>
    </row>
    <row r="22" spans="1:10" outlineLevel="1" x14ac:dyDescent="0.25">
      <c r="A22" s="1" t="s">
        <v>7</v>
      </c>
      <c r="B22" s="39">
        <v>10</v>
      </c>
      <c r="C22" s="39">
        <v>10</v>
      </c>
      <c r="D22" s="39">
        <v>10</v>
      </c>
      <c r="E22" s="39">
        <v>10</v>
      </c>
      <c r="F22" s="39">
        <v>10</v>
      </c>
      <c r="G22" s="39">
        <v>10</v>
      </c>
      <c r="H22" s="39"/>
      <c r="I22" s="39"/>
      <c r="J22" s="39"/>
    </row>
    <row r="23" spans="1:10" outlineLevel="1" x14ac:dyDescent="0.25">
      <c r="A23" s="1" t="s">
        <v>55</v>
      </c>
      <c r="B23" s="40">
        <v>0.25</v>
      </c>
      <c r="C23" s="40">
        <v>0.25</v>
      </c>
      <c r="D23" s="40">
        <v>0.25</v>
      </c>
      <c r="E23" s="40">
        <v>0.25</v>
      </c>
      <c r="F23" s="40">
        <v>0.25</v>
      </c>
      <c r="G23" s="40">
        <v>0.25</v>
      </c>
      <c r="H23" s="40"/>
      <c r="I23" s="40"/>
      <c r="J23" s="40"/>
    </row>
    <row r="24" spans="1:10" outlineLevel="1" x14ac:dyDescent="0.25">
      <c r="A24" s="1" t="s">
        <v>54</v>
      </c>
      <c r="B24" s="40">
        <v>0.2</v>
      </c>
      <c r="C24" s="40">
        <v>0.2</v>
      </c>
      <c r="D24" s="40">
        <v>0.2</v>
      </c>
      <c r="E24" s="40">
        <v>0.2</v>
      </c>
      <c r="F24" s="40">
        <v>0.2</v>
      </c>
      <c r="G24" s="40">
        <v>0.2</v>
      </c>
      <c r="H24" s="40"/>
      <c r="I24" s="40"/>
      <c r="J24" s="40"/>
    </row>
    <row r="25" spans="1:10" outlineLevel="1" x14ac:dyDescent="0.25">
      <c r="A25" s="1" t="s">
        <v>46</v>
      </c>
      <c r="B25" s="36">
        <v>2000</v>
      </c>
      <c r="C25" s="36">
        <v>2000</v>
      </c>
      <c r="D25" s="36">
        <v>2000</v>
      </c>
      <c r="E25" s="36">
        <v>2000</v>
      </c>
      <c r="F25" s="36">
        <v>2000</v>
      </c>
      <c r="G25" s="36">
        <v>2000</v>
      </c>
      <c r="H25" s="36"/>
      <c r="I25" s="36"/>
      <c r="J25" s="36"/>
    </row>
    <row r="26" spans="1:10" outlineLevel="1" x14ac:dyDescent="0.25">
      <c r="A26" s="1" t="s">
        <v>113</v>
      </c>
      <c r="B26" s="38">
        <f t="shared" ref="B26:G26" si="1">SUM(B19:B20)*0.01</f>
        <v>20000</v>
      </c>
      <c r="C26" s="38">
        <f t="shared" si="1"/>
        <v>23000</v>
      </c>
      <c r="D26" s="38">
        <f t="shared" si="1"/>
        <v>26000</v>
      </c>
      <c r="E26" s="38">
        <f t="shared" si="1"/>
        <v>20000</v>
      </c>
      <c r="F26" s="38">
        <f t="shared" si="1"/>
        <v>23000</v>
      </c>
      <c r="G26" s="38">
        <f t="shared" si="1"/>
        <v>26000</v>
      </c>
      <c r="H26" s="38"/>
      <c r="I26" s="38"/>
      <c r="J26" s="38"/>
    </row>
    <row r="27" spans="1:10" x14ac:dyDescent="0.25">
      <c r="A27" s="1"/>
      <c r="B27" s="38"/>
      <c r="C27" s="38"/>
      <c r="D27" s="38"/>
      <c r="E27" s="38"/>
      <c r="F27" s="38"/>
      <c r="G27" s="38"/>
      <c r="H27" s="38"/>
      <c r="I27" s="38"/>
      <c r="J27" s="38"/>
    </row>
    <row r="28" spans="1:10" ht="18" thickBot="1" x14ac:dyDescent="0.35">
      <c r="A28" s="2" t="s">
        <v>53</v>
      </c>
      <c r="B28" s="2"/>
      <c r="C28" s="2"/>
      <c r="D28" s="2"/>
      <c r="E28" s="2"/>
      <c r="F28" s="2"/>
      <c r="G28" s="2"/>
      <c r="H28" s="2"/>
      <c r="I28" s="2"/>
      <c r="J28" s="2"/>
    </row>
    <row r="29" spans="1:10" ht="15.75" outlineLevel="1" thickTop="1" x14ac:dyDescent="0.25">
      <c r="A29" s="1" t="s">
        <v>381</v>
      </c>
      <c r="B29" s="185">
        <v>0.35599999999999998</v>
      </c>
      <c r="C29" s="185">
        <v>0.35599999999999998</v>
      </c>
      <c r="D29" s="185">
        <v>0.35599999999999998</v>
      </c>
      <c r="E29" s="185">
        <v>0.35599999999999998</v>
      </c>
      <c r="F29" s="185">
        <v>0.35599999999999998</v>
      </c>
      <c r="G29" s="185">
        <v>0.35599999999999998</v>
      </c>
    </row>
    <row r="30" spans="1:10" ht="15.75" outlineLevel="1" x14ac:dyDescent="0.3">
      <c r="A30" s="1" t="s">
        <v>142</v>
      </c>
      <c r="B30" s="41">
        <f>0.267*B3*B29</f>
        <v>9.5052000000000003</v>
      </c>
      <c r="C30" s="41">
        <f t="shared" ref="C30:J30" si="2">0.267*C3*C29</f>
        <v>14.257800000000001</v>
      </c>
      <c r="D30" s="41">
        <f t="shared" si="2"/>
        <v>17.679672</v>
      </c>
      <c r="E30" s="41">
        <f t="shared" si="2"/>
        <v>9.5052000000000003</v>
      </c>
      <c r="F30" s="41">
        <f t="shared" si="2"/>
        <v>14.257800000000001</v>
      </c>
      <c r="G30" s="41">
        <f t="shared" si="2"/>
        <v>17.679672</v>
      </c>
      <c r="H30" s="41">
        <f t="shared" si="2"/>
        <v>0</v>
      </c>
      <c r="I30" s="41">
        <f t="shared" si="2"/>
        <v>0</v>
      </c>
      <c r="J30" s="41">
        <f t="shared" si="2"/>
        <v>0</v>
      </c>
    </row>
    <row r="31" spans="1:10" outlineLevel="1" x14ac:dyDescent="0.25">
      <c r="A31" s="1" t="s">
        <v>32</v>
      </c>
      <c r="B31" s="42">
        <v>0.08</v>
      </c>
      <c r="C31" s="42">
        <v>0.08</v>
      </c>
      <c r="D31" s="42">
        <v>0.08</v>
      </c>
      <c r="E31" s="42">
        <v>0.08</v>
      </c>
      <c r="F31" s="42">
        <v>0.08</v>
      </c>
      <c r="G31" s="42">
        <v>0.08</v>
      </c>
      <c r="H31" s="42"/>
      <c r="I31" s="42"/>
      <c r="J31" s="42"/>
    </row>
    <row r="32" spans="1:10" outlineLevel="1" x14ac:dyDescent="0.25">
      <c r="A32" s="36" t="s">
        <v>57</v>
      </c>
      <c r="B32" s="40">
        <v>0.8</v>
      </c>
      <c r="C32" s="40">
        <v>1</v>
      </c>
      <c r="D32" s="40">
        <v>1</v>
      </c>
      <c r="E32" s="40">
        <v>1</v>
      </c>
      <c r="F32" s="40">
        <v>1</v>
      </c>
      <c r="G32" s="40">
        <v>1</v>
      </c>
      <c r="H32" s="40"/>
      <c r="I32" s="40"/>
      <c r="J32" s="40"/>
    </row>
    <row r="33" spans="1:10" outlineLevel="1" x14ac:dyDescent="0.25">
      <c r="A33" s="1" t="s">
        <v>58</v>
      </c>
      <c r="B33" s="40">
        <v>0.8</v>
      </c>
      <c r="C33" s="40">
        <v>1</v>
      </c>
      <c r="D33" s="40">
        <v>1</v>
      </c>
      <c r="E33" s="40">
        <v>1</v>
      </c>
      <c r="F33" s="40">
        <v>1</v>
      </c>
      <c r="G33" s="40">
        <v>1</v>
      </c>
      <c r="H33" s="40"/>
      <c r="I33" s="40"/>
      <c r="J33" s="40"/>
    </row>
    <row r="34" spans="1:10" outlineLevel="1" x14ac:dyDescent="0.25">
      <c r="A34" s="1" t="s">
        <v>69</v>
      </c>
      <c r="B34" s="36"/>
      <c r="C34" s="36"/>
      <c r="D34" s="36"/>
      <c r="E34" s="36"/>
      <c r="F34" s="36"/>
      <c r="G34" s="36"/>
      <c r="H34" s="36"/>
      <c r="I34" s="36"/>
      <c r="J34" s="36"/>
    </row>
    <row r="35" spans="1:10" outlineLevel="1" x14ac:dyDescent="0.25">
      <c r="A35" s="1" t="s">
        <v>70</v>
      </c>
      <c r="B35" s="36"/>
      <c r="C35" s="36"/>
      <c r="D35" s="36"/>
      <c r="E35" s="36"/>
      <c r="F35" s="36"/>
      <c r="G35" s="36"/>
      <c r="H35" s="36"/>
      <c r="I35" s="36"/>
      <c r="J35" s="36"/>
    </row>
    <row r="36" spans="1:10" outlineLevel="1" x14ac:dyDescent="0.25">
      <c r="A36" s="1" t="s">
        <v>59</v>
      </c>
      <c r="B36" s="38">
        <v>100000</v>
      </c>
      <c r="C36" s="38">
        <v>100000</v>
      </c>
      <c r="D36" s="38">
        <v>100000</v>
      </c>
      <c r="E36" s="38">
        <v>100000</v>
      </c>
      <c r="F36" s="38">
        <v>100000</v>
      </c>
      <c r="G36" s="38">
        <v>100000</v>
      </c>
      <c r="H36" s="38"/>
      <c r="I36" s="38"/>
      <c r="J36" s="38"/>
    </row>
    <row r="37" spans="1:10" ht="15.75" outlineLevel="1" x14ac:dyDescent="0.3">
      <c r="A37" s="1" t="s">
        <v>60</v>
      </c>
      <c r="B37" s="38">
        <v>8000</v>
      </c>
      <c r="C37" s="38">
        <v>8000</v>
      </c>
      <c r="D37" s="38">
        <v>8000</v>
      </c>
      <c r="E37" s="38">
        <v>8000</v>
      </c>
      <c r="F37" s="38">
        <v>8000</v>
      </c>
      <c r="G37" s="38">
        <v>8000</v>
      </c>
      <c r="H37" s="38"/>
      <c r="I37" s="38"/>
      <c r="J37" s="38"/>
    </row>
    <row r="38" spans="1:10" outlineLevel="1" x14ac:dyDescent="0.25">
      <c r="A38" s="1" t="s">
        <v>61</v>
      </c>
      <c r="B38" s="38">
        <v>100000</v>
      </c>
      <c r="C38" s="38">
        <v>100000</v>
      </c>
      <c r="D38" s="38">
        <v>100000</v>
      </c>
      <c r="E38" s="38">
        <v>100000</v>
      </c>
      <c r="F38" s="38">
        <v>100000</v>
      </c>
      <c r="G38" s="38">
        <v>100000</v>
      </c>
      <c r="H38" s="38"/>
      <c r="I38" s="38"/>
      <c r="J38" s="38"/>
    </row>
    <row r="39" spans="1:10" ht="15.75" outlineLevel="1" x14ac:dyDescent="0.3">
      <c r="A39" s="1" t="s">
        <v>62</v>
      </c>
      <c r="B39" s="38">
        <v>6000</v>
      </c>
      <c r="C39" s="38">
        <v>6000</v>
      </c>
      <c r="D39" s="38">
        <v>6000</v>
      </c>
      <c r="E39" s="38">
        <v>6000</v>
      </c>
      <c r="F39" s="38">
        <v>6000</v>
      </c>
      <c r="G39" s="38">
        <v>6000</v>
      </c>
      <c r="H39" s="38"/>
      <c r="I39" s="38"/>
      <c r="J39" s="38"/>
    </row>
    <row r="40" spans="1:10" outlineLevel="1" x14ac:dyDescent="0.25">
      <c r="A40" s="1" t="s">
        <v>273</v>
      </c>
      <c r="B40" s="38">
        <v>2000</v>
      </c>
      <c r="C40" s="38">
        <v>2000</v>
      </c>
      <c r="D40" s="38">
        <v>2000</v>
      </c>
      <c r="E40" s="38">
        <v>2000</v>
      </c>
      <c r="F40" s="38">
        <v>2000</v>
      </c>
      <c r="G40" s="38">
        <v>2000</v>
      </c>
      <c r="H40" s="38"/>
      <c r="I40" s="38"/>
      <c r="J40" s="38"/>
    </row>
    <row r="41" spans="1:10" x14ac:dyDescent="0.25">
      <c r="A41" s="1"/>
      <c r="B41" s="38"/>
      <c r="C41" s="38"/>
      <c r="D41" s="38"/>
      <c r="E41" s="38"/>
      <c r="F41" s="38"/>
      <c r="G41" s="38"/>
      <c r="H41" s="38"/>
      <c r="I41" s="38"/>
      <c r="J41" s="38"/>
    </row>
    <row r="42" spans="1:10" ht="18" thickBot="1" x14ac:dyDescent="0.35">
      <c r="A42" s="2" t="s">
        <v>67</v>
      </c>
      <c r="B42" s="2"/>
      <c r="C42" s="2"/>
      <c r="D42" s="2"/>
      <c r="E42" s="2"/>
      <c r="F42" s="2"/>
      <c r="G42" s="2"/>
      <c r="H42" s="2"/>
      <c r="I42" s="2"/>
      <c r="J42" s="2"/>
    </row>
    <row r="43" spans="1:10" ht="15.75" outlineLevel="1" thickTop="1" x14ac:dyDescent="0.25">
      <c r="A43" s="1" t="s">
        <v>83</v>
      </c>
      <c r="B43" s="36">
        <v>7.5</v>
      </c>
      <c r="C43" s="36">
        <v>7.5</v>
      </c>
      <c r="D43" s="36">
        <v>7.5</v>
      </c>
      <c r="E43" s="36">
        <v>7.5</v>
      </c>
      <c r="F43" s="36">
        <v>7.5</v>
      </c>
      <c r="G43" s="36">
        <v>7.5</v>
      </c>
      <c r="H43" s="36"/>
      <c r="I43" s="36"/>
      <c r="J43" s="36"/>
    </row>
    <row r="44" spans="1:10" outlineLevel="1" x14ac:dyDescent="0.25">
      <c r="A44" s="1" t="s">
        <v>71</v>
      </c>
      <c r="B44" s="38">
        <f>IF(B43&gt;0,Forutsetninger!$D$19,0)</f>
        <v>247.08698530885721</v>
      </c>
      <c r="C44" s="38">
        <f>IF(C43&gt;0,Forutsetninger!$D$19,0)</f>
        <v>247.08698530885721</v>
      </c>
      <c r="D44" s="38">
        <f>IF(D43&gt;0,Forutsetninger!$D$19,0)</f>
        <v>247.08698530885721</v>
      </c>
      <c r="E44" s="38">
        <f>IF(E43&gt;0,Forutsetninger!$D$19,0)</f>
        <v>247.08698530885721</v>
      </c>
      <c r="F44" s="38">
        <f>IF(F43&gt;0,Forutsetninger!$D$19,0)</f>
        <v>247.08698530885721</v>
      </c>
      <c r="G44" s="38">
        <f>IF(G43&gt;0,Forutsetninger!$D$19,0)</f>
        <v>247.08698530885721</v>
      </c>
      <c r="H44" s="38">
        <f>IF(H43&gt;0,Forutsetninger!$D$19,0)</f>
        <v>0</v>
      </c>
      <c r="I44" s="38">
        <f>IF(I43&gt;0,Forutsetninger!$D$19,0)</f>
        <v>0</v>
      </c>
      <c r="J44" s="38">
        <f>IF(J43&gt;0,Forutsetninger!$D$19,0)</f>
        <v>0</v>
      </c>
    </row>
    <row r="45" spans="1:10" outlineLevel="1" x14ac:dyDescent="0.25">
      <c r="A45" s="1" t="s">
        <v>82</v>
      </c>
      <c r="B45" s="38">
        <v>100</v>
      </c>
      <c r="C45" s="38">
        <v>100</v>
      </c>
      <c r="D45" s="38">
        <v>100</v>
      </c>
      <c r="E45" s="38">
        <v>100</v>
      </c>
      <c r="F45" s="38">
        <v>100</v>
      </c>
      <c r="G45" s="38">
        <v>100</v>
      </c>
      <c r="H45" s="38"/>
      <c r="I45" s="38"/>
      <c r="J45" s="38"/>
    </row>
    <row r="46" spans="1:10" outlineLevel="1" x14ac:dyDescent="0.25">
      <c r="A46" s="1" t="s">
        <v>72</v>
      </c>
      <c r="B46" s="38">
        <v>50</v>
      </c>
      <c r="C46" s="38">
        <v>50</v>
      </c>
      <c r="D46" s="38">
        <v>50</v>
      </c>
      <c r="E46" s="38">
        <v>50</v>
      </c>
      <c r="F46" s="38">
        <v>50</v>
      </c>
      <c r="G46" s="38">
        <v>50</v>
      </c>
      <c r="H46" s="38"/>
      <c r="I46" s="38"/>
      <c r="J46" s="38"/>
    </row>
    <row r="47" spans="1:10" outlineLevel="1" x14ac:dyDescent="0.25">
      <c r="A47" s="1" t="s">
        <v>85</v>
      </c>
      <c r="B47" s="38">
        <f>IF(B43&gt;0,SUM(Forutsetninger!$D$20),0)</f>
        <v>3000</v>
      </c>
      <c r="C47" s="38">
        <f>IF(C43&gt;0,SUM(Forutsetninger!$D$20),0)</f>
        <v>3000</v>
      </c>
      <c r="D47" s="38">
        <f>IF(D43&gt;0,SUM(Forutsetninger!$D$20),0)</f>
        <v>3000</v>
      </c>
      <c r="E47" s="38">
        <f>IF(E43&gt;0,SUM(Forutsetninger!$D$20),0)</f>
        <v>3000</v>
      </c>
      <c r="F47" s="38">
        <f>IF(F43&gt;0,SUM(Forutsetninger!$D$20),0)</f>
        <v>3000</v>
      </c>
      <c r="G47" s="38">
        <f>IF(G43&gt;0,SUM(Forutsetninger!$D$20),0)</f>
        <v>3000</v>
      </c>
      <c r="H47" s="38">
        <f>IF(H43&gt;0,SUM(Forutsetninger!$D$20),0)</f>
        <v>0</v>
      </c>
      <c r="I47" s="38">
        <f>IF(I43&gt;0,SUM(Forutsetninger!$D$20),0)</f>
        <v>0</v>
      </c>
      <c r="J47" s="38">
        <f>IF(J43&gt;0,SUM(Forutsetninger!$D$20),0)</f>
        <v>0</v>
      </c>
    </row>
    <row r="48" spans="1:10" outlineLevel="1" x14ac:dyDescent="0.25">
      <c r="A48" s="1" t="s">
        <v>73</v>
      </c>
      <c r="B48" s="38">
        <v>50000</v>
      </c>
      <c r="C48" s="38">
        <v>50000</v>
      </c>
      <c r="D48" s="38">
        <v>50000</v>
      </c>
      <c r="E48" s="38">
        <v>50000</v>
      </c>
      <c r="F48" s="38">
        <v>50000</v>
      </c>
      <c r="G48" s="38">
        <v>50000</v>
      </c>
      <c r="H48" s="38"/>
      <c r="I48" s="38"/>
      <c r="J48" s="38"/>
    </row>
    <row r="49" spans="1:11" x14ac:dyDescent="0.25">
      <c r="A49" s="1"/>
      <c r="B49" s="38"/>
      <c r="C49" s="38"/>
      <c r="D49" s="38"/>
      <c r="E49" s="38"/>
      <c r="F49" s="38"/>
      <c r="G49" s="38"/>
      <c r="H49" s="38"/>
      <c r="I49" s="38"/>
      <c r="J49" s="38"/>
    </row>
    <row r="50" spans="1:11" ht="18" thickBot="1" x14ac:dyDescent="0.35">
      <c r="A50" s="2" t="s">
        <v>74</v>
      </c>
      <c r="B50" s="2"/>
      <c r="C50" s="2"/>
      <c r="D50" s="2"/>
      <c r="E50" s="2"/>
      <c r="F50" s="2"/>
      <c r="G50" s="2"/>
      <c r="H50" s="2"/>
      <c r="I50" s="2"/>
      <c r="J50" s="2"/>
    </row>
    <row r="51" spans="1:11" ht="15.75" outlineLevel="1" thickTop="1" x14ac:dyDescent="0.25">
      <c r="A51" s="1" t="s">
        <v>267</v>
      </c>
      <c r="B51" s="46">
        <v>2.77</v>
      </c>
      <c r="C51" s="46">
        <v>2.7</v>
      </c>
      <c r="D51" s="46">
        <f>2.5</f>
        <v>2.5</v>
      </c>
      <c r="E51" s="46">
        <v>2.2000000000000002</v>
      </c>
      <c r="F51" s="46">
        <v>2.1</v>
      </c>
      <c r="G51" s="46">
        <v>2</v>
      </c>
      <c r="H51" s="46"/>
      <c r="I51" s="46"/>
      <c r="J51" s="46"/>
    </row>
    <row r="52" spans="1:11" outlineLevel="1" x14ac:dyDescent="0.25">
      <c r="A52" s="1" t="s">
        <v>131</v>
      </c>
      <c r="B52" s="46">
        <v>2.2999999999999998</v>
      </c>
      <c r="C52" s="46">
        <v>2.2999999999999998</v>
      </c>
      <c r="D52" s="46">
        <v>2.2999999999999998</v>
      </c>
      <c r="E52" s="46">
        <v>2.2999999999999998</v>
      </c>
      <c r="F52" s="46">
        <v>2.2999999999999998</v>
      </c>
      <c r="G52" s="46">
        <v>2.2999999999999998</v>
      </c>
      <c r="H52" s="46"/>
      <c r="I52" s="46"/>
      <c r="J52" s="46"/>
    </row>
    <row r="53" spans="1:11" ht="15.75" outlineLevel="1" x14ac:dyDescent="0.3">
      <c r="A53" s="1" t="s">
        <v>78</v>
      </c>
      <c r="B53" s="46">
        <v>0.92</v>
      </c>
      <c r="C53" s="46">
        <v>0.92</v>
      </c>
      <c r="D53" s="46">
        <v>0.92</v>
      </c>
      <c r="E53" s="46">
        <v>0.92</v>
      </c>
      <c r="F53" s="46">
        <v>0.92</v>
      </c>
      <c r="G53" s="46">
        <v>0.92</v>
      </c>
      <c r="H53" s="46"/>
      <c r="I53" s="46"/>
      <c r="J53" s="46"/>
    </row>
    <row r="54" spans="1:11" ht="15.75" outlineLevel="1" x14ac:dyDescent="0.3">
      <c r="A54" s="1" t="s">
        <v>104</v>
      </c>
      <c r="B54" s="36">
        <v>0.85</v>
      </c>
      <c r="C54" s="36">
        <v>0.85</v>
      </c>
      <c r="D54" s="36">
        <v>0.85</v>
      </c>
      <c r="E54" s="36">
        <v>0.85</v>
      </c>
      <c r="F54" s="36">
        <v>0.85</v>
      </c>
      <c r="G54" s="36">
        <v>0.85</v>
      </c>
      <c r="H54" s="36"/>
      <c r="I54" s="36"/>
      <c r="J54" s="36"/>
    </row>
    <row r="55" spans="1:11" outlineLevel="1" x14ac:dyDescent="0.25">
      <c r="A55" s="1" t="s">
        <v>106</v>
      </c>
      <c r="B55" s="46">
        <v>1</v>
      </c>
      <c r="C55" s="46">
        <v>1</v>
      </c>
      <c r="D55" s="46">
        <v>1</v>
      </c>
      <c r="E55" s="46">
        <v>1</v>
      </c>
      <c r="F55" s="46">
        <v>1</v>
      </c>
      <c r="G55" s="46">
        <v>1</v>
      </c>
      <c r="H55" s="46"/>
      <c r="I55" s="46"/>
      <c r="J55" s="46"/>
    </row>
    <row r="56" spans="1:11" x14ac:dyDescent="0.25">
      <c r="A56" s="1"/>
      <c r="B56" s="19"/>
      <c r="C56" s="19"/>
      <c r="D56" s="19"/>
      <c r="E56" s="19"/>
      <c r="F56" s="19"/>
      <c r="G56" s="19"/>
      <c r="H56" s="19"/>
      <c r="I56" s="19"/>
      <c r="J56" s="19"/>
    </row>
    <row r="57" spans="1:11" ht="18" thickBot="1" x14ac:dyDescent="0.35">
      <c r="A57" s="20" t="s">
        <v>79</v>
      </c>
      <c r="B57" s="20"/>
      <c r="C57" s="20"/>
      <c r="D57" s="20"/>
      <c r="E57" s="20"/>
      <c r="F57" s="20"/>
      <c r="G57" s="20"/>
      <c r="H57" s="20"/>
      <c r="I57" s="20"/>
      <c r="J57" s="20"/>
    </row>
    <row r="58" spans="1:11" ht="15.75" outlineLevel="1" thickTop="1" x14ac:dyDescent="0.25">
      <c r="A58" s="21" t="s">
        <v>105</v>
      </c>
      <c r="B58" s="22">
        <f t="shared" ref="B58:H58" si="3">B14*B16*B15</f>
        <v>1725</v>
      </c>
      <c r="C58" s="22">
        <f t="shared" si="3"/>
        <v>1725</v>
      </c>
      <c r="D58" s="22">
        <f t="shared" si="3"/>
        <v>1725</v>
      </c>
      <c r="E58" s="22">
        <f t="shared" si="3"/>
        <v>1725</v>
      </c>
      <c r="F58" s="22">
        <f t="shared" si="3"/>
        <v>1725</v>
      </c>
      <c r="G58" s="22">
        <f t="shared" si="3"/>
        <v>1725</v>
      </c>
      <c r="H58" s="22">
        <f t="shared" si="3"/>
        <v>0</v>
      </c>
      <c r="I58" s="22">
        <f>I14*I16*I15</f>
        <v>0</v>
      </c>
      <c r="J58" s="22">
        <f>J14*J16*J15</f>
        <v>0</v>
      </c>
    </row>
    <row r="59" spans="1:11" outlineLevel="1" x14ac:dyDescent="0.25">
      <c r="A59" s="1" t="s">
        <v>132</v>
      </c>
      <c r="B59" s="48">
        <f t="shared" ref="B59:H59" si="4">B8*B10</f>
        <v>5.8800000000000008</v>
      </c>
      <c r="C59" s="48">
        <f t="shared" si="4"/>
        <v>7.4399999999999995</v>
      </c>
      <c r="D59" s="48">
        <f t="shared" si="4"/>
        <v>9.36</v>
      </c>
      <c r="E59" s="48">
        <f t="shared" si="4"/>
        <v>8.82</v>
      </c>
      <c r="F59" s="48">
        <f t="shared" si="4"/>
        <v>11.159999999999998</v>
      </c>
      <c r="G59" s="48">
        <f t="shared" si="4"/>
        <v>14.04</v>
      </c>
      <c r="H59" s="48">
        <f t="shared" si="4"/>
        <v>0</v>
      </c>
      <c r="I59" s="48">
        <f>I8*I10</f>
        <v>0</v>
      </c>
      <c r="J59" s="48">
        <f>J8*J10</f>
        <v>0</v>
      </c>
    </row>
    <row r="60" spans="1:11" outlineLevel="1" x14ac:dyDescent="0.25">
      <c r="A60" s="1" t="s">
        <v>265</v>
      </c>
      <c r="B60" s="48">
        <f>Forutsetninger!$D5*2/1000/Terrengtransport!B52*60</f>
        <v>15.652173913043478</v>
      </c>
      <c r="C60" s="48">
        <f>Forutsetninger!$D5*2/1000/Terrengtransport!C52*60</f>
        <v>15.652173913043478</v>
      </c>
      <c r="D60" s="48">
        <f>Forutsetninger!$D5*2/1000/Terrengtransport!D52*60</f>
        <v>15.652173913043478</v>
      </c>
      <c r="E60" s="48">
        <f>Forutsetninger!$D5*2/1000/Terrengtransport!E52*60</f>
        <v>15.652173913043478</v>
      </c>
      <c r="F60" s="48">
        <f>Forutsetninger!$D5*2/1000/Terrengtransport!F52*60</f>
        <v>15.652173913043478</v>
      </c>
      <c r="G60" s="48">
        <f>Forutsetninger!$D5*2/1000/Terrengtransport!G52*60</f>
        <v>15.652173913043478</v>
      </c>
      <c r="H60" s="48">
        <f>IFERROR(Forutsetninger!$D5*2/1000/Terrengtransport!H52*60,0)</f>
        <v>0</v>
      </c>
      <c r="I60" s="48">
        <f>IFERROR(Forutsetninger!$D5*2/1000/Terrengtransport!I52*60,0)</f>
        <v>0</v>
      </c>
      <c r="J60" s="48">
        <f>IFERROR(Forutsetninger!$D5*2/1000/Terrengtransport!J52*60,0)</f>
        <v>0</v>
      </c>
    </row>
    <row r="61" spans="1:11" outlineLevel="1" x14ac:dyDescent="0.25">
      <c r="A61" s="1" t="s">
        <v>266</v>
      </c>
      <c r="B61" s="48">
        <f t="shared" ref="B61:H61" si="5">B51*B59</f>
        <v>16.287600000000001</v>
      </c>
      <c r="C61" s="48">
        <f t="shared" si="5"/>
        <v>20.088000000000001</v>
      </c>
      <c r="D61" s="48">
        <f t="shared" si="5"/>
        <v>23.4</v>
      </c>
      <c r="E61" s="48">
        <f t="shared" si="5"/>
        <v>19.404000000000003</v>
      </c>
      <c r="F61" s="48">
        <f t="shared" si="5"/>
        <v>23.435999999999996</v>
      </c>
      <c r="G61" s="48">
        <f t="shared" si="5"/>
        <v>28.08</v>
      </c>
      <c r="H61" s="48">
        <f t="shared" si="5"/>
        <v>0</v>
      </c>
      <c r="I61" s="48">
        <f>I51*I59</f>
        <v>0</v>
      </c>
      <c r="J61" s="48">
        <f>J51*J59</f>
        <v>0</v>
      </c>
    </row>
    <row r="62" spans="1:11" outlineLevel="1" x14ac:dyDescent="0.25">
      <c r="A62" s="1" t="s">
        <v>268</v>
      </c>
      <c r="B62" s="22">
        <f t="shared" ref="B62:H62" si="6">(B61+B60)</f>
        <v>31.939773913043481</v>
      </c>
      <c r="C62" s="22">
        <f t="shared" si="6"/>
        <v>35.740173913043478</v>
      </c>
      <c r="D62" s="22">
        <f t="shared" si="6"/>
        <v>39.052173913043475</v>
      </c>
      <c r="E62" s="22">
        <f t="shared" si="6"/>
        <v>35.05617391304348</v>
      </c>
      <c r="F62" s="22">
        <f t="shared" si="6"/>
        <v>39.088173913043477</v>
      </c>
      <c r="G62" s="22">
        <f t="shared" si="6"/>
        <v>43.732173913043475</v>
      </c>
      <c r="H62" s="22">
        <f t="shared" si="6"/>
        <v>0</v>
      </c>
      <c r="I62" s="22">
        <f>(I61+I60)</f>
        <v>0</v>
      </c>
      <c r="J62" s="22">
        <f>(J61+J60)</f>
        <v>0</v>
      </c>
    </row>
    <row r="63" spans="1:11" outlineLevel="1" x14ac:dyDescent="0.25">
      <c r="A63" s="31" t="s">
        <v>264</v>
      </c>
      <c r="B63" s="30">
        <f>B59/B62/B53*60</f>
        <v>12.006292277258776</v>
      </c>
      <c r="C63" s="30">
        <f>C59/C62/C53*60</f>
        <v>13.576245949023384</v>
      </c>
      <c r="D63" s="30">
        <f t="shared" ref="D63:I63" si="7">IFERROR(D59/D62/D53*60,0)</f>
        <v>15.631262525050099</v>
      </c>
      <c r="E63" s="30">
        <f t="shared" si="7"/>
        <v>16.408447559941063</v>
      </c>
      <c r="F63" s="30">
        <f t="shared" si="7"/>
        <v>18.620109718495971</v>
      </c>
      <c r="G63" s="30">
        <f t="shared" si="7"/>
        <v>20.937723693629206</v>
      </c>
      <c r="H63" s="30">
        <f t="shared" si="7"/>
        <v>0</v>
      </c>
      <c r="I63" s="30">
        <f t="shared" si="7"/>
        <v>0</v>
      </c>
      <c r="J63" s="30">
        <f>IFERROR(J59/J62/J53*60,0)</f>
        <v>0</v>
      </c>
      <c r="K63" s="30">
        <f>IFERROR(K59/K62/K53*60,0)</f>
        <v>0</v>
      </c>
    </row>
    <row r="64" spans="1:11" outlineLevel="1" x14ac:dyDescent="0.25">
      <c r="A64" s="21" t="s">
        <v>107</v>
      </c>
      <c r="B64" s="22">
        <f>Forutsetninger!$D$2/B63/B54+B55</f>
        <v>20.597567026810722</v>
      </c>
      <c r="C64" s="22">
        <f>Forutsetninger!$D$2/C63/C54+C55</f>
        <v>18.331309297912718</v>
      </c>
      <c r="D64" s="22">
        <f>Forutsetninger!$D$2/D63/D54+D55</f>
        <v>16.052790346907997</v>
      </c>
      <c r="E64" s="22">
        <f>Forutsetninger!$D$2/E63/E54+E55</f>
        <v>15.339815926370548</v>
      </c>
      <c r="F64" s="22">
        <f>Forutsetninger!$D$2/F63/F54+F55</f>
        <v>13.63655913978495</v>
      </c>
      <c r="G64" s="22">
        <f>Forutsetninger!$D$2/G63/G54+G55</f>
        <v>12.237807943690298</v>
      </c>
      <c r="H64" s="22">
        <f>IFERROR(Forutsetninger!$D$2/H63/H54+H55,0)</f>
        <v>0</v>
      </c>
      <c r="I64" s="22">
        <f>IFERROR(Forutsetninger!$D$2/I63/I54+I55,0)</f>
        <v>0</v>
      </c>
      <c r="J64" s="22">
        <f>IFERROR(Forutsetninger!$D$2/J63/J54+J55,0)</f>
        <v>0</v>
      </c>
    </row>
    <row r="65" spans="1:11" outlineLevel="1" x14ac:dyDescent="0.25">
      <c r="A65" s="21" t="s">
        <v>86</v>
      </c>
      <c r="B65" s="22">
        <f t="shared" ref="B65:G65" si="8">B58/B64</f>
        <v>83.747755147715367</v>
      </c>
      <c r="C65" s="22">
        <f t="shared" si="8"/>
        <v>94.101298056021349</v>
      </c>
      <c r="D65" s="22">
        <f t="shared" si="8"/>
        <v>107.45795358451562</v>
      </c>
      <c r="E65" s="22">
        <f t="shared" si="8"/>
        <v>112.45245759661086</v>
      </c>
      <c r="F65" s="22">
        <f t="shared" si="8"/>
        <v>126.49818640592963</v>
      </c>
      <c r="G65" s="22">
        <f t="shared" si="8"/>
        <v>140.95661640852882</v>
      </c>
      <c r="H65" s="22">
        <f>IFERROR(H58/H64,0)</f>
        <v>0</v>
      </c>
      <c r="I65" s="22">
        <f>IFERROR(I58/I64,0)</f>
        <v>0</v>
      </c>
      <c r="J65" s="22">
        <f>IFERROR(J58/J64,0)</f>
        <v>0</v>
      </c>
    </row>
    <row r="66" spans="1:11" ht="15.75" outlineLevel="1" x14ac:dyDescent="0.3">
      <c r="A66" s="21" t="s">
        <v>80</v>
      </c>
      <c r="B66" s="22">
        <f t="shared" ref="B66:H66" si="9">B14*B15*B16*B54-(B55*B65)</f>
        <v>1382.5022448522845</v>
      </c>
      <c r="C66" s="22">
        <f t="shared" si="9"/>
        <v>1372.1487019439787</v>
      </c>
      <c r="D66" s="22">
        <f t="shared" si="9"/>
        <v>1358.7920464154845</v>
      </c>
      <c r="E66" s="22">
        <f t="shared" si="9"/>
        <v>1353.7975424033891</v>
      </c>
      <c r="F66" s="22">
        <f t="shared" si="9"/>
        <v>1339.7518135940704</v>
      </c>
      <c r="G66" s="22">
        <f t="shared" si="9"/>
        <v>1325.2933835914712</v>
      </c>
      <c r="H66" s="22">
        <f t="shared" si="9"/>
        <v>0</v>
      </c>
      <c r="I66" s="22">
        <f>I14*I15*I16*I54-(I55*I65)</f>
        <v>0</v>
      </c>
      <c r="J66" s="22">
        <f>J14*J15*J16*J54-(J55*J65)</f>
        <v>0</v>
      </c>
    </row>
    <row r="67" spans="1:11" outlineLevel="1" x14ac:dyDescent="0.25">
      <c r="A67" s="21" t="s">
        <v>108</v>
      </c>
      <c r="B67" s="24">
        <f t="shared" ref="B67:G67" si="10">B66/B58</f>
        <v>0.80145057672596209</v>
      </c>
      <c r="C67" s="24">
        <f t="shared" si="10"/>
        <v>0.79544852286607459</v>
      </c>
      <c r="D67" s="24">
        <f t="shared" si="10"/>
        <v>0.7877055341539041</v>
      </c>
      <c r="E67" s="24">
        <f t="shared" si="10"/>
        <v>0.78481016950921112</v>
      </c>
      <c r="F67" s="24">
        <f t="shared" si="10"/>
        <v>0.77666771802554813</v>
      </c>
      <c r="G67" s="24">
        <f t="shared" si="10"/>
        <v>0.76828601947331665</v>
      </c>
      <c r="H67" s="24">
        <f>IFERROR(H66/H58,0)</f>
        <v>0</v>
      </c>
      <c r="I67" s="24">
        <f>IFERROR(I66/I58,0)</f>
        <v>0</v>
      </c>
      <c r="J67" s="24">
        <f>IFERROR(J66/J58,0)</f>
        <v>0</v>
      </c>
    </row>
    <row r="68" spans="1:11" outlineLevel="1" x14ac:dyDescent="0.25">
      <c r="A68" s="21" t="s">
        <v>81</v>
      </c>
      <c r="B68" s="22">
        <f t="shared" ref="B68:H68" si="11">B63*B66</f>
        <v>16598.726025662905</v>
      </c>
      <c r="C68" s="22">
        <f t="shared" si="11"/>
        <v>18628.628256224638</v>
      </c>
      <c r="D68" s="22">
        <f t="shared" si="11"/>
        <v>21239.635194470498</v>
      </c>
      <c r="E68" s="22">
        <f t="shared" si="11"/>
        <v>22213.715981303099</v>
      </c>
      <c r="F68" s="22">
        <f t="shared" si="11"/>
        <v>24946.325764675556</v>
      </c>
      <c r="G68" s="22">
        <f t="shared" si="11"/>
        <v>27748.626678633165</v>
      </c>
      <c r="H68" s="22">
        <f t="shared" si="11"/>
        <v>0</v>
      </c>
      <c r="I68" s="22">
        <f>I63*I66</f>
        <v>0</v>
      </c>
      <c r="J68" s="22">
        <f>J63*J66</f>
        <v>0</v>
      </c>
      <c r="K68" s="22">
        <f>K63*K66</f>
        <v>0</v>
      </c>
    </row>
    <row r="70" spans="1:11" ht="18" thickBot="1" x14ac:dyDescent="0.35">
      <c r="A70" s="20" t="s">
        <v>75</v>
      </c>
      <c r="B70" s="27">
        <f t="shared" ref="B70:H70" si="12">B87</f>
        <v>1343756.493206101</v>
      </c>
      <c r="C70" s="27">
        <f t="shared" si="12"/>
        <v>1544385.8872084403</v>
      </c>
      <c r="D70" s="27">
        <f t="shared" si="12"/>
        <v>1690329.4313229728</v>
      </c>
      <c r="E70" s="27">
        <f t="shared" si="12"/>
        <v>1436927.708184917</v>
      </c>
      <c r="F70" s="27">
        <f t="shared" si="12"/>
        <v>1603201.539611748</v>
      </c>
      <c r="G70" s="27">
        <f t="shared" si="12"/>
        <v>1749919.7206968763</v>
      </c>
      <c r="H70" s="27">
        <f t="shared" si="12"/>
        <v>0</v>
      </c>
      <c r="I70" s="27">
        <f>I87</f>
        <v>0</v>
      </c>
      <c r="J70" s="27">
        <f>J87</f>
        <v>0</v>
      </c>
    </row>
    <row r="71" spans="1:11" ht="15.75" outlineLevel="2" thickTop="1" x14ac:dyDescent="0.25">
      <c r="A71" s="28" t="s">
        <v>77</v>
      </c>
      <c r="B71" s="22">
        <f t="shared" ref="B71:G71" si="13">(B19-B36-B38-(B19*B23))/B21 + (B20-(B20*B24))/B22</f>
        <v>130000</v>
      </c>
      <c r="C71" s="22">
        <f t="shared" si="13"/>
        <v>152500</v>
      </c>
      <c r="D71" s="22">
        <f t="shared" si="13"/>
        <v>175000</v>
      </c>
      <c r="E71" s="22">
        <f t="shared" si="13"/>
        <v>130000</v>
      </c>
      <c r="F71" s="22">
        <f t="shared" si="13"/>
        <v>152500</v>
      </c>
      <c r="G71" s="22">
        <f t="shared" si="13"/>
        <v>175000</v>
      </c>
      <c r="H71" s="22">
        <f>IFERROR((H19-H36-H38-(H19*H23))/H21 + (H20-(H20*H24))/H22,0)</f>
        <v>0</v>
      </c>
      <c r="I71" s="22">
        <f>IFERROR((I19-I36-I38-(I19*I23))/I21 + (I20-(I20*I24))/I22,0)</f>
        <v>0</v>
      </c>
      <c r="J71" s="22">
        <f>IFERROR((J19-J36-J38-(J19*J23))/J21 + (J20-(J20*J24))/J22,0)</f>
        <v>0</v>
      </c>
    </row>
    <row r="72" spans="1:11" outlineLevel="2" x14ac:dyDescent="0.25">
      <c r="A72" s="28" t="s">
        <v>76</v>
      </c>
      <c r="B72" s="22">
        <f>(((B19*(B21+1))+((B19*B23)*(B21-1)))/(B21*2) + ((B20*(B22+1))+((B20*B24)*(B22-1)))/(B22*2))*Forutsetninger!$D$22</f>
        <v>66250</v>
      </c>
      <c r="C72" s="22">
        <f>(((C19*(C21+1))+((C19*C23)*(C21-1)))/(C21*2) + ((C20*(C22+1))+((C20*C24)*(C22-1)))/(C22*2))*Forutsetninger!$D$22</f>
        <v>76187.5</v>
      </c>
      <c r="D72" s="22">
        <f>(((D19*(D21+1))+((D19*D23)*(D21-1)))/(D21*2) + ((D20*(D22+1))+((D20*D24)*(D22-1)))/(D22*2))*Forutsetninger!$D$22</f>
        <v>86125</v>
      </c>
      <c r="E72" s="22">
        <f>(((E19*(E21+1))+((E19*E23)*(E21-1)))/(E21*2) + ((E20*(E22+1))+((E20*E24)*(E22-1)))/(E22*2))*Forutsetninger!$D$22</f>
        <v>66250</v>
      </c>
      <c r="F72" s="22">
        <f>(((F19*(F21+1))+((F19*F23)*(F21-1)))/(F21*2) + ((F20*(F22+1))+((F20*F24)*(F22-1)))/(F22*2))*Forutsetninger!$D$22</f>
        <v>76187.5</v>
      </c>
      <c r="G72" s="22">
        <f>(((G19*(G21+1))+((G19*G23)*(G21-1)))/(G21*2) + ((G20*(G22+1))+((G20*G24)*(G22-1)))/(G22*2))*Forutsetninger!$D$22</f>
        <v>86125</v>
      </c>
      <c r="H72" s="22">
        <f>IFERROR((((H19*(H21+1))+((H19*H23)*(H21-1)))/(H21*2) + ((H20*(H22+1))+((H20*H24)*(H22-1)))/(H22*2))*Forutsetninger!$D$22,0)</f>
        <v>0</v>
      </c>
      <c r="I72" s="22">
        <f>IFERROR((((I19*(I21+1))+((I19*I23)*(I21-1)))/(I21*2) + ((I20*(I22+1))+((I20*I24)*(I22-1)))/(I22*2))*Forutsetninger!$D$22,0)</f>
        <v>0</v>
      </c>
      <c r="J72" s="22">
        <f>IFERROR((((J19*(J21+1))+((J19*J23)*(J21-1)))/(J21*2) + ((J20*(J22+1))+((J20*J24)*(J22-1)))/(J22*2))*Forutsetninger!$D$22,0)</f>
        <v>0</v>
      </c>
    </row>
    <row r="73" spans="1:11" outlineLevel="2" x14ac:dyDescent="0.25">
      <c r="A73" s="21" t="s">
        <v>96</v>
      </c>
      <c r="B73" s="22">
        <f t="shared" ref="B73:H73" si="14">B26+B25</f>
        <v>22000</v>
      </c>
      <c r="C73" s="22">
        <f t="shared" si="14"/>
        <v>25000</v>
      </c>
      <c r="D73" s="22">
        <f t="shared" si="14"/>
        <v>28000</v>
      </c>
      <c r="E73" s="22">
        <f t="shared" si="14"/>
        <v>22000</v>
      </c>
      <c r="F73" s="22">
        <f t="shared" si="14"/>
        <v>25000</v>
      </c>
      <c r="G73" s="22">
        <f t="shared" si="14"/>
        <v>28000</v>
      </c>
      <c r="H73" s="22">
        <f t="shared" si="14"/>
        <v>0</v>
      </c>
      <c r="I73" s="22">
        <f>I26+I25</f>
        <v>0</v>
      </c>
      <c r="J73" s="22">
        <f>J26+J25</f>
        <v>0</v>
      </c>
    </row>
    <row r="74" spans="1:11" outlineLevel="1" x14ac:dyDescent="0.25">
      <c r="A74" s="29" t="s">
        <v>98</v>
      </c>
      <c r="B74" s="30">
        <f t="shared" ref="B74:H74" si="15">SUM(B71:B73)</f>
        <v>218250</v>
      </c>
      <c r="C74" s="30">
        <f t="shared" si="15"/>
        <v>253687.5</v>
      </c>
      <c r="D74" s="30">
        <f t="shared" si="15"/>
        <v>289125</v>
      </c>
      <c r="E74" s="30">
        <f t="shared" si="15"/>
        <v>218250</v>
      </c>
      <c r="F74" s="30">
        <f t="shared" si="15"/>
        <v>253687.5</v>
      </c>
      <c r="G74" s="30">
        <f t="shared" si="15"/>
        <v>289125</v>
      </c>
      <c r="H74" s="30">
        <f t="shared" si="15"/>
        <v>0</v>
      </c>
      <c r="I74" s="30">
        <f>SUM(I71:I73)</f>
        <v>0</v>
      </c>
      <c r="J74" s="30">
        <f>SUM(J71:J73)</f>
        <v>0</v>
      </c>
    </row>
    <row r="75" spans="1:11" outlineLevel="2" x14ac:dyDescent="0.25">
      <c r="A75" s="21" t="s">
        <v>87</v>
      </c>
      <c r="B75" s="22">
        <f>B30*B66*Forutsetninger!$D$25</f>
        <v>118268.64303992942</v>
      </c>
      <c r="C75" s="22">
        <f>C30*C66*Forutsetninger!$D$25</f>
        <v>176074.39586319178</v>
      </c>
      <c r="D75" s="22">
        <f>D30*D66*Forutsetninger!$D$25</f>
        <v>216206.97927151085</v>
      </c>
      <c r="E75" s="22">
        <f>E30*E66*Forutsetninger!$D$25</f>
        <v>115813.04760047425</v>
      </c>
      <c r="F75" s="22">
        <f>F30*F66*Forutsetninger!$D$25</f>
        <v>171917.22067075386</v>
      </c>
      <c r="G75" s="22">
        <f>G30*G66*Forutsetninger!$D$25</f>
        <v>210876.77093100653</v>
      </c>
      <c r="H75" s="22">
        <f>H30*H66*Forutsetninger!$D$25</f>
        <v>0</v>
      </c>
      <c r="I75" s="22">
        <f>I30*I66*Forutsetninger!$D$25</f>
        <v>0</v>
      </c>
      <c r="J75" s="22">
        <f>J30*J66*Forutsetninger!$D$25</f>
        <v>0</v>
      </c>
    </row>
    <row r="76" spans="1:11" outlineLevel="2" x14ac:dyDescent="0.25">
      <c r="A76" s="28" t="s">
        <v>88</v>
      </c>
      <c r="B76" s="22">
        <f t="shared" ref="B76:H76" si="16">B75*B31</f>
        <v>9461.4914431943544</v>
      </c>
      <c r="C76" s="22">
        <f t="shared" si="16"/>
        <v>14085.951669055343</v>
      </c>
      <c r="D76" s="22">
        <f t="shared" si="16"/>
        <v>17296.558341720869</v>
      </c>
      <c r="E76" s="22">
        <f t="shared" si="16"/>
        <v>9265.0438080379408</v>
      </c>
      <c r="F76" s="22">
        <f t="shared" si="16"/>
        <v>13753.377653660309</v>
      </c>
      <c r="G76" s="22">
        <f t="shared" si="16"/>
        <v>16870.141674480521</v>
      </c>
      <c r="H76" s="22">
        <f t="shared" si="16"/>
        <v>0</v>
      </c>
      <c r="I76" s="22">
        <f>I75*I31</f>
        <v>0</v>
      </c>
      <c r="J76" s="22">
        <f>J75*J31</f>
        <v>0</v>
      </c>
    </row>
    <row r="77" spans="1:11" outlineLevel="2" x14ac:dyDescent="0.25">
      <c r="A77" s="28" t="s">
        <v>89</v>
      </c>
      <c r="B77" s="22">
        <f t="shared" ref="B77:G77" si="17">(B19-B36-B38)*B32/B21</f>
        <v>144000</v>
      </c>
      <c r="C77" s="22">
        <f t="shared" si="17"/>
        <v>210000</v>
      </c>
      <c r="D77" s="22">
        <f t="shared" si="17"/>
        <v>240000</v>
      </c>
      <c r="E77" s="22">
        <f t="shared" si="17"/>
        <v>180000</v>
      </c>
      <c r="F77" s="22">
        <f t="shared" si="17"/>
        <v>210000</v>
      </c>
      <c r="G77" s="22">
        <f t="shared" si="17"/>
        <v>240000</v>
      </c>
      <c r="H77" s="22">
        <f>IFERROR((H19-H36-H38)*H32/H21,0)</f>
        <v>0</v>
      </c>
      <c r="I77" s="22">
        <f>IFERROR((I19-I36-I38)*I32/I21,0)</f>
        <v>0</v>
      </c>
      <c r="J77" s="22">
        <f>IFERROR((J19-J36-J38)*J32/J21,0)</f>
        <v>0</v>
      </c>
    </row>
    <row r="78" spans="1:11" outlineLevel="2" x14ac:dyDescent="0.25">
      <c r="A78" s="21" t="s">
        <v>90</v>
      </c>
      <c r="B78" s="22">
        <f t="shared" ref="B78:G78" si="18">((B36/B37)+(B38/B39))*B66</f>
        <v>40322.982141524968</v>
      </c>
      <c r="C78" s="22">
        <f t="shared" si="18"/>
        <v>40021.00380669938</v>
      </c>
      <c r="D78" s="22">
        <f t="shared" si="18"/>
        <v>39631.434687118301</v>
      </c>
      <c r="E78" s="22">
        <f t="shared" si="18"/>
        <v>39485.761653432186</v>
      </c>
      <c r="F78" s="22">
        <f t="shared" si="18"/>
        <v>39076.09456316039</v>
      </c>
      <c r="G78" s="22">
        <f t="shared" si="18"/>
        <v>38654.390354751245</v>
      </c>
      <c r="H78" s="22">
        <f>IFERROR(((H36/H37)+(H38/H39))*H66,0)</f>
        <v>0</v>
      </c>
      <c r="I78" s="22">
        <f>IFERROR(((I36/I37)+(I38/I39))*I66,0)</f>
        <v>0</v>
      </c>
      <c r="J78" s="22">
        <f>IFERROR(((J36/J37)+(J38/J39))*J66,0)</f>
        <v>0</v>
      </c>
    </row>
    <row r="79" spans="1:11" outlineLevel="1" x14ac:dyDescent="0.25">
      <c r="A79" s="31" t="s">
        <v>97</v>
      </c>
      <c r="B79" s="30">
        <f t="shared" ref="B79:H79" si="19">SUM(B75:B78)</f>
        <v>312053.11662464874</v>
      </c>
      <c r="C79" s="30">
        <f t="shared" si="19"/>
        <v>440181.35133894649</v>
      </c>
      <c r="D79" s="30">
        <f t="shared" si="19"/>
        <v>513134.97230034997</v>
      </c>
      <c r="E79" s="30">
        <f t="shared" si="19"/>
        <v>344563.85306194436</v>
      </c>
      <c r="F79" s="30">
        <f t="shared" si="19"/>
        <v>434746.69288757455</v>
      </c>
      <c r="G79" s="30">
        <f t="shared" si="19"/>
        <v>506401.3029602383</v>
      </c>
      <c r="H79" s="30">
        <f t="shared" si="19"/>
        <v>0</v>
      </c>
      <c r="I79" s="30">
        <f>SUM(I75:I78)</f>
        <v>0</v>
      </c>
      <c r="J79" s="30">
        <f>SUM(J75:J78)</f>
        <v>0</v>
      </c>
    </row>
    <row r="80" spans="1:11" outlineLevel="2" x14ac:dyDescent="0.25">
      <c r="A80" s="21" t="s">
        <v>93</v>
      </c>
      <c r="B80" s="22">
        <f t="shared" ref="B80:H80" si="20">B14*B15*B43*B44</f>
        <v>426225.0496577787</v>
      </c>
      <c r="C80" s="22">
        <f t="shared" si="20"/>
        <v>426225.0496577787</v>
      </c>
      <c r="D80" s="22">
        <f t="shared" si="20"/>
        <v>426225.0496577787</v>
      </c>
      <c r="E80" s="22">
        <f t="shared" si="20"/>
        <v>426225.0496577787</v>
      </c>
      <c r="F80" s="22">
        <f t="shared" si="20"/>
        <v>426225.0496577787</v>
      </c>
      <c r="G80" s="22">
        <f t="shared" si="20"/>
        <v>426225.0496577787</v>
      </c>
      <c r="H80" s="22">
        <f t="shared" si="20"/>
        <v>0</v>
      </c>
      <c r="I80" s="22">
        <f>I14*I15*I43*I44</f>
        <v>0</v>
      </c>
      <c r="J80" s="22">
        <f>J14*J15*J43*J44</f>
        <v>0</v>
      </c>
    </row>
    <row r="81" spans="1:10" outlineLevel="2" x14ac:dyDescent="0.25">
      <c r="A81" s="21" t="s">
        <v>94</v>
      </c>
      <c r="B81" s="22">
        <f>B46*B14*B15*Forutsetninger!$D$21</f>
        <v>36800</v>
      </c>
      <c r="C81" s="22">
        <f>C46*C14*C15*Forutsetninger!$D$21</f>
        <v>36800</v>
      </c>
      <c r="D81" s="22">
        <f>D46*D14*D15*Forutsetninger!$D$21</f>
        <v>36800</v>
      </c>
      <c r="E81" s="22">
        <f>E46*E14*E15*Forutsetninger!$D$21</f>
        <v>36800</v>
      </c>
      <c r="F81" s="22">
        <f>F46*F14*F15*Forutsetninger!$D$21</f>
        <v>36800</v>
      </c>
      <c r="G81" s="22">
        <f>G46*G14*G15*Forutsetninger!$D$21</f>
        <v>36800</v>
      </c>
      <c r="H81" s="22">
        <f>H46*H14*H15*Forutsetninger!$D$21</f>
        <v>0</v>
      </c>
      <c r="I81" s="22">
        <f>I46*I14*I15*Forutsetninger!$D$21</f>
        <v>0</v>
      </c>
      <c r="J81" s="22">
        <f>J46*J14*J15*Forutsetninger!$D$21</f>
        <v>0</v>
      </c>
    </row>
    <row r="82" spans="1:10" outlineLevel="2" x14ac:dyDescent="0.25">
      <c r="A82" s="21" t="s">
        <v>38</v>
      </c>
      <c r="B82" s="22">
        <f t="shared" ref="B82:H82" si="21">B45*B14*B15+B47</f>
        <v>26000</v>
      </c>
      <c r="C82" s="22">
        <f t="shared" si="21"/>
        <v>26000</v>
      </c>
      <c r="D82" s="22">
        <f t="shared" si="21"/>
        <v>26000</v>
      </c>
      <c r="E82" s="22">
        <f t="shared" si="21"/>
        <v>26000</v>
      </c>
      <c r="F82" s="22">
        <f t="shared" si="21"/>
        <v>26000</v>
      </c>
      <c r="G82" s="22">
        <f t="shared" si="21"/>
        <v>26000</v>
      </c>
      <c r="H82" s="22">
        <f t="shared" si="21"/>
        <v>0</v>
      </c>
      <c r="I82" s="22">
        <f>I45*I14*I15+I47</f>
        <v>0</v>
      </c>
      <c r="J82" s="22">
        <f>J45*J14*J15+J47</f>
        <v>0</v>
      </c>
    </row>
    <row r="83" spans="1:10" outlineLevel="2" x14ac:dyDescent="0.25">
      <c r="A83" s="21" t="s">
        <v>92</v>
      </c>
      <c r="B83" s="22">
        <f t="shared" ref="B83:H83" si="22">B48</f>
        <v>50000</v>
      </c>
      <c r="C83" s="22">
        <f t="shared" si="22"/>
        <v>50000</v>
      </c>
      <c r="D83" s="22">
        <f t="shared" si="22"/>
        <v>50000</v>
      </c>
      <c r="E83" s="22">
        <f t="shared" si="22"/>
        <v>50000</v>
      </c>
      <c r="F83" s="22">
        <f t="shared" si="22"/>
        <v>50000</v>
      </c>
      <c r="G83" s="22">
        <f t="shared" si="22"/>
        <v>50000</v>
      </c>
      <c r="H83" s="22">
        <f t="shared" si="22"/>
        <v>0</v>
      </c>
      <c r="I83" s="22">
        <f>I48</f>
        <v>0</v>
      </c>
      <c r="J83" s="22">
        <f>J48</f>
        <v>0</v>
      </c>
    </row>
    <row r="84" spans="1:10" outlineLevel="1" x14ac:dyDescent="0.25">
      <c r="A84" s="31" t="s">
        <v>99</v>
      </c>
      <c r="B84" s="30">
        <f t="shared" ref="B84:H84" si="23">SUM(B80:B83)</f>
        <v>539025.0496577787</v>
      </c>
      <c r="C84" s="30">
        <f t="shared" si="23"/>
        <v>539025.0496577787</v>
      </c>
      <c r="D84" s="30">
        <f t="shared" si="23"/>
        <v>539025.0496577787</v>
      </c>
      <c r="E84" s="30">
        <f t="shared" si="23"/>
        <v>539025.0496577787</v>
      </c>
      <c r="F84" s="30">
        <f t="shared" si="23"/>
        <v>539025.0496577787</v>
      </c>
      <c r="G84" s="30">
        <f t="shared" si="23"/>
        <v>539025.0496577787</v>
      </c>
      <c r="H84" s="30">
        <f t="shared" si="23"/>
        <v>0</v>
      </c>
      <c r="I84" s="30">
        <f>SUM(I80:I83)</f>
        <v>0</v>
      </c>
      <c r="J84" s="30">
        <f>SUM(J80:J83)</f>
        <v>0</v>
      </c>
    </row>
    <row r="85" spans="1:10" outlineLevel="1" x14ac:dyDescent="0.25">
      <c r="A85" s="31" t="s">
        <v>112</v>
      </c>
      <c r="B85" s="30">
        <f t="shared" ref="B85:H85" si="24">B40*B65</f>
        <v>167495.51029543072</v>
      </c>
      <c r="C85" s="30">
        <f t="shared" si="24"/>
        <v>188202.59611204269</v>
      </c>
      <c r="D85" s="30">
        <f t="shared" si="24"/>
        <v>214915.90716903124</v>
      </c>
      <c r="E85" s="30">
        <f t="shared" si="24"/>
        <v>224904.91519322171</v>
      </c>
      <c r="F85" s="30">
        <f t="shared" si="24"/>
        <v>252996.37281185927</v>
      </c>
      <c r="G85" s="30">
        <f t="shared" si="24"/>
        <v>281913.23281705764</v>
      </c>
      <c r="H85" s="30">
        <f t="shared" si="24"/>
        <v>0</v>
      </c>
      <c r="I85" s="30">
        <f>I40*I65</f>
        <v>0</v>
      </c>
      <c r="J85" s="30">
        <f>J40*J65</f>
        <v>0</v>
      </c>
    </row>
    <row r="86" spans="1:10" outlineLevel="1" x14ac:dyDescent="0.25">
      <c r="A86" s="31" t="s">
        <v>109</v>
      </c>
      <c r="B86" s="30">
        <f>(B84+B79+B74)*Forutsetninger!$D24</f>
        <v>106932.81662824276</v>
      </c>
      <c r="C86" s="30">
        <f>(C84+C79+C74)*Forutsetninger!$D24</f>
        <v>123289.39009967251</v>
      </c>
      <c r="D86" s="30">
        <f>(D84+D79+D74)*Forutsetninger!$D24</f>
        <v>134128.50219581285</v>
      </c>
      <c r="E86" s="30">
        <f>(E84+E79+E74)*Forutsetninger!$D24</f>
        <v>110183.89027197231</v>
      </c>
      <c r="F86" s="30">
        <f>(F84+F79+F74)*Forutsetninger!$D24</f>
        <v>122745.92425453533</v>
      </c>
      <c r="G86" s="30">
        <f>(G84+G79+G74)*Forutsetninger!$D24</f>
        <v>133455.13526180171</v>
      </c>
      <c r="H86" s="30">
        <f>(H84+H79+H74)*Forutsetninger!$D24</f>
        <v>0</v>
      </c>
      <c r="I86" s="30">
        <f>(I84+I79+I74)*Forutsetninger!$D24</f>
        <v>0</v>
      </c>
      <c r="J86" s="30">
        <f>(J84+J79+J74)*Forutsetninger!$D24</f>
        <v>0</v>
      </c>
    </row>
    <row r="87" spans="1:10" ht="15.75" outlineLevel="1" thickBot="1" x14ac:dyDescent="0.3">
      <c r="A87" s="32" t="s">
        <v>100</v>
      </c>
      <c r="B87" s="33">
        <f t="shared" ref="B87:H87" si="25">B84+B85+B86+B79+B74</f>
        <v>1343756.493206101</v>
      </c>
      <c r="C87" s="33">
        <f t="shared" si="25"/>
        <v>1544385.8872084403</v>
      </c>
      <c r="D87" s="33">
        <f t="shared" si="25"/>
        <v>1690329.4313229728</v>
      </c>
      <c r="E87" s="33">
        <f t="shared" si="25"/>
        <v>1436927.708184917</v>
      </c>
      <c r="F87" s="33">
        <f t="shared" si="25"/>
        <v>1603201.539611748</v>
      </c>
      <c r="G87" s="33">
        <f t="shared" si="25"/>
        <v>1749919.7206968763</v>
      </c>
      <c r="H87" s="33">
        <f t="shared" si="25"/>
        <v>0</v>
      </c>
      <c r="I87" s="33">
        <f>I84+I85+I86+I79+I74</f>
        <v>0</v>
      </c>
      <c r="J87" s="33">
        <f>J84+J85+J86+J79+J74</f>
        <v>0</v>
      </c>
    </row>
    <row r="88" spans="1:10" x14ac:dyDescent="0.25">
      <c r="A88" s="26"/>
      <c r="B88" s="22"/>
      <c r="C88" s="22"/>
      <c r="D88" s="22"/>
      <c r="E88" s="22"/>
      <c r="F88" s="22"/>
      <c r="G88" s="22"/>
      <c r="H88" s="22"/>
      <c r="I88" s="22"/>
      <c r="J88" s="22"/>
    </row>
    <row r="89" spans="1:10" ht="19.5" thickBot="1" x14ac:dyDescent="0.4">
      <c r="A89" s="20" t="s">
        <v>95</v>
      </c>
      <c r="B89" s="27">
        <f t="shared" ref="B89:H89" si="26">B106</f>
        <v>971.97418536537464</v>
      </c>
      <c r="C89" s="27">
        <f t="shared" si="26"/>
        <v>1125.5237023658196</v>
      </c>
      <c r="D89" s="27">
        <f t="shared" si="26"/>
        <v>1243.9942048395774</v>
      </c>
      <c r="E89" s="27">
        <f t="shared" si="26"/>
        <v>1061.4051681863357</v>
      </c>
      <c r="F89" s="27">
        <f t="shared" si="26"/>
        <v>1196.6406937050058</v>
      </c>
      <c r="G89" s="27">
        <f t="shared" si="26"/>
        <v>1320.4017633851695</v>
      </c>
      <c r="H89" s="27">
        <f t="shared" si="26"/>
        <v>0</v>
      </c>
      <c r="I89" s="27">
        <f>I106</f>
        <v>0</v>
      </c>
      <c r="J89" s="27">
        <f>J106</f>
        <v>0</v>
      </c>
    </row>
    <row r="90" spans="1:10" ht="15.75" outlineLevel="2" thickTop="1" x14ac:dyDescent="0.25">
      <c r="A90" s="28" t="s">
        <v>77</v>
      </c>
      <c r="B90" s="22">
        <f t="shared" ref="B90:G90" si="27">B71/B$66</f>
        <v>94.032397042429423</v>
      </c>
      <c r="C90" s="22">
        <f t="shared" si="27"/>
        <v>111.139557821938</v>
      </c>
      <c r="D90" s="22">
        <f t="shared" si="27"/>
        <v>128.7908627826111</v>
      </c>
      <c r="E90" s="22">
        <f t="shared" si="27"/>
        <v>96.026175205793137</v>
      </c>
      <c r="F90" s="22">
        <f t="shared" si="27"/>
        <v>113.82705248287559</v>
      </c>
      <c r="G90" s="22">
        <f t="shared" si="27"/>
        <v>132.04623381259157</v>
      </c>
      <c r="H90" s="22">
        <f t="shared" ref="H90:H106" si="28">IFERROR(H71/H$66,0)</f>
        <v>0</v>
      </c>
      <c r="I90" s="22">
        <f t="shared" ref="I90:J106" si="29">IFERROR(I71/I$66,0)</f>
        <v>0</v>
      </c>
      <c r="J90" s="22">
        <f t="shared" si="29"/>
        <v>0</v>
      </c>
    </row>
    <row r="91" spans="1:10" outlineLevel="2" x14ac:dyDescent="0.25">
      <c r="A91" s="28" t="s">
        <v>76</v>
      </c>
      <c r="B91" s="22">
        <f t="shared" ref="B91:G91" si="30">B72/B$66</f>
        <v>47.920356185084223</v>
      </c>
      <c r="C91" s="22">
        <f t="shared" si="30"/>
        <v>55.524229911861653</v>
      </c>
      <c r="D91" s="22">
        <f t="shared" si="30"/>
        <v>63.383503183727896</v>
      </c>
      <c r="E91" s="22">
        <f t="shared" si="30"/>
        <v>48.93641621064458</v>
      </c>
      <c r="F91" s="22">
        <f t="shared" si="30"/>
        <v>56.866875810092353</v>
      </c>
      <c r="G91" s="22">
        <f t="shared" si="30"/>
        <v>64.985610783482556</v>
      </c>
      <c r="H91" s="22">
        <f t="shared" si="28"/>
        <v>0</v>
      </c>
      <c r="I91" s="22">
        <f t="shared" si="29"/>
        <v>0</v>
      </c>
      <c r="J91" s="22">
        <f t="shared" si="29"/>
        <v>0</v>
      </c>
    </row>
    <row r="92" spans="1:10" outlineLevel="2" x14ac:dyDescent="0.25">
      <c r="A92" s="21" t="s">
        <v>96</v>
      </c>
      <c r="B92" s="22">
        <f t="shared" ref="B92:G92" si="31">B73/B$66</f>
        <v>15.913174884103441</v>
      </c>
      <c r="C92" s="22">
        <f t="shared" si="31"/>
        <v>18.219599642940658</v>
      </c>
      <c r="D92" s="22">
        <f t="shared" si="31"/>
        <v>20.606538045217775</v>
      </c>
      <c r="E92" s="22">
        <f t="shared" si="31"/>
        <v>16.250583496364992</v>
      </c>
      <c r="F92" s="22">
        <f t="shared" si="31"/>
        <v>18.660172538176326</v>
      </c>
      <c r="G92" s="22">
        <f t="shared" si="31"/>
        <v>21.127397410014648</v>
      </c>
      <c r="H92" s="22">
        <f t="shared" si="28"/>
        <v>0</v>
      </c>
      <c r="I92" s="22">
        <f t="shared" si="29"/>
        <v>0</v>
      </c>
      <c r="J92" s="22">
        <f t="shared" si="29"/>
        <v>0</v>
      </c>
    </row>
    <row r="93" spans="1:10" outlineLevel="1" x14ac:dyDescent="0.25">
      <c r="A93" s="29" t="s">
        <v>98</v>
      </c>
      <c r="B93" s="30">
        <f t="shared" ref="B93:G93" si="32">B74/B$66</f>
        <v>157.86592811161708</v>
      </c>
      <c r="C93" s="30">
        <f t="shared" si="32"/>
        <v>184.8833873767403</v>
      </c>
      <c r="D93" s="30">
        <f t="shared" si="32"/>
        <v>212.78090401155677</v>
      </c>
      <c r="E93" s="30">
        <f t="shared" si="32"/>
        <v>161.21317491280271</v>
      </c>
      <c r="F93" s="30">
        <f t="shared" si="32"/>
        <v>189.35410083114425</v>
      </c>
      <c r="G93" s="30">
        <f t="shared" si="32"/>
        <v>218.15924200608876</v>
      </c>
      <c r="H93" s="30">
        <f t="shared" si="28"/>
        <v>0</v>
      </c>
      <c r="I93" s="30">
        <f t="shared" si="29"/>
        <v>0</v>
      </c>
      <c r="J93" s="30">
        <f t="shared" si="29"/>
        <v>0</v>
      </c>
    </row>
    <row r="94" spans="1:10" outlineLevel="2" x14ac:dyDescent="0.25">
      <c r="A94" s="21" t="s">
        <v>87</v>
      </c>
      <c r="B94" s="22">
        <f t="shared" ref="B94:G94" si="33">B75/B$66</f>
        <v>85.546800000000005</v>
      </c>
      <c r="C94" s="22">
        <f t="shared" si="33"/>
        <v>128.32020000000003</v>
      </c>
      <c r="D94" s="22">
        <f t="shared" si="33"/>
        <v>159.11704799999998</v>
      </c>
      <c r="E94" s="22">
        <f t="shared" si="33"/>
        <v>85.546800000000005</v>
      </c>
      <c r="F94" s="22">
        <f t="shared" si="33"/>
        <v>128.32020000000003</v>
      </c>
      <c r="G94" s="22">
        <f t="shared" si="33"/>
        <v>159.11704799999998</v>
      </c>
      <c r="H94" s="22">
        <f t="shared" si="28"/>
        <v>0</v>
      </c>
      <c r="I94" s="22">
        <f t="shared" si="29"/>
        <v>0</v>
      </c>
      <c r="J94" s="22">
        <f t="shared" si="29"/>
        <v>0</v>
      </c>
    </row>
    <row r="95" spans="1:10" outlineLevel="2" x14ac:dyDescent="0.25">
      <c r="A95" s="28" t="s">
        <v>88</v>
      </c>
      <c r="B95" s="22">
        <f t="shared" ref="B95:G95" si="34">B76/B$66</f>
        <v>6.8437440000000009</v>
      </c>
      <c r="C95" s="22">
        <f t="shared" si="34"/>
        <v>10.265616000000003</v>
      </c>
      <c r="D95" s="22">
        <f t="shared" si="34"/>
        <v>12.72936384</v>
      </c>
      <c r="E95" s="22">
        <f t="shared" si="34"/>
        <v>6.8437440000000009</v>
      </c>
      <c r="F95" s="22">
        <f t="shared" si="34"/>
        <v>10.265616000000001</v>
      </c>
      <c r="G95" s="22">
        <f t="shared" si="34"/>
        <v>12.72936384</v>
      </c>
      <c r="H95" s="22">
        <f t="shared" si="28"/>
        <v>0</v>
      </c>
      <c r="I95" s="22">
        <f t="shared" si="29"/>
        <v>0</v>
      </c>
      <c r="J95" s="22">
        <f t="shared" si="29"/>
        <v>0</v>
      </c>
    </row>
    <row r="96" spans="1:10" outlineLevel="2" x14ac:dyDescent="0.25">
      <c r="A96" s="28" t="s">
        <v>89</v>
      </c>
      <c r="B96" s="22">
        <f t="shared" ref="B96:G96" si="35">B77/B$66</f>
        <v>104.15896287776798</v>
      </c>
      <c r="C96" s="22">
        <f t="shared" si="35"/>
        <v>153.04463700070153</v>
      </c>
      <c r="D96" s="22">
        <f t="shared" si="35"/>
        <v>176.62746895900952</v>
      </c>
      <c r="E96" s="22">
        <f t="shared" si="35"/>
        <v>132.95931951571356</v>
      </c>
      <c r="F96" s="22">
        <f t="shared" si="35"/>
        <v>156.74544932068113</v>
      </c>
      <c r="G96" s="22">
        <f t="shared" si="35"/>
        <v>181.09197780012556</v>
      </c>
      <c r="H96" s="22">
        <f t="shared" si="28"/>
        <v>0</v>
      </c>
      <c r="I96" s="22">
        <f t="shared" si="29"/>
        <v>0</v>
      </c>
      <c r="J96" s="22">
        <f t="shared" si="29"/>
        <v>0</v>
      </c>
    </row>
    <row r="97" spans="1:11" outlineLevel="2" x14ac:dyDescent="0.25">
      <c r="A97" s="21" t="s">
        <v>90</v>
      </c>
      <c r="B97" s="22">
        <f t="shared" ref="B97:G97" si="36">B78/B$66</f>
        <v>29.166666666666668</v>
      </c>
      <c r="C97" s="22">
        <f t="shared" si="36"/>
        <v>29.166666666666668</v>
      </c>
      <c r="D97" s="22">
        <f t="shared" si="36"/>
        <v>29.166666666666668</v>
      </c>
      <c r="E97" s="22">
        <f t="shared" si="36"/>
        <v>29.166666666666668</v>
      </c>
      <c r="F97" s="22">
        <f t="shared" si="36"/>
        <v>29.166666666666668</v>
      </c>
      <c r="G97" s="22">
        <f t="shared" si="36"/>
        <v>29.166666666666668</v>
      </c>
      <c r="H97" s="22">
        <f t="shared" si="28"/>
        <v>0</v>
      </c>
      <c r="I97" s="22">
        <f t="shared" si="29"/>
        <v>0</v>
      </c>
      <c r="J97" s="22">
        <f t="shared" si="29"/>
        <v>0</v>
      </c>
    </row>
    <row r="98" spans="1:11" outlineLevel="1" x14ac:dyDescent="0.25">
      <c r="A98" s="31" t="s">
        <v>97</v>
      </c>
      <c r="B98" s="30">
        <f t="shared" ref="B98:G98" si="37">B79/B$66</f>
        <v>225.71617354443464</v>
      </c>
      <c r="C98" s="30">
        <f t="shared" si="37"/>
        <v>320.79711966736824</v>
      </c>
      <c r="D98" s="30">
        <f t="shared" si="37"/>
        <v>377.64054746567615</v>
      </c>
      <c r="E98" s="30">
        <f t="shared" si="37"/>
        <v>254.51653018238022</v>
      </c>
      <c r="F98" s="30">
        <f t="shared" si="37"/>
        <v>324.49793198734784</v>
      </c>
      <c r="G98" s="30">
        <f t="shared" si="37"/>
        <v>382.10505630679222</v>
      </c>
      <c r="H98" s="30">
        <f t="shared" si="28"/>
        <v>0</v>
      </c>
      <c r="I98" s="30">
        <f t="shared" si="29"/>
        <v>0</v>
      </c>
      <c r="J98" s="30">
        <f t="shared" si="29"/>
        <v>0</v>
      </c>
    </row>
    <row r="99" spans="1:11" outlineLevel="2" x14ac:dyDescent="0.25">
      <c r="A99" s="21" t="s">
        <v>336</v>
      </c>
      <c r="B99" s="22">
        <f t="shared" ref="B99:G99" si="38">B80/B$66</f>
        <v>308.29971614499573</v>
      </c>
      <c r="C99" s="22">
        <f t="shared" si="38"/>
        <v>310.62599050228914</v>
      </c>
      <c r="D99" s="22">
        <f t="shared" si="38"/>
        <v>313.67938219992334</v>
      </c>
      <c r="E99" s="22">
        <f t="shared" si="38"/>
        <v>314.83662535027491</v>
      </c>
      <c r="F99" s="22">
        <f t="shared" si="38"/>
        <v>318.13731866827692</v>
      </c>
      <c r="G99" s="22">
        <f t="shared" si="38"/>
        <v>321.60807179368283</v>
      </c>
      <c r="H99" s="22">
        <f t="shared" si="28"/>
        <v>0</v>
      </c>
      <c r="I99" s="22">
        <f t="shared" si="29"/>
        <v>0</v>
      </c>
      <c r="J99" s="22">
        <f t="shared" si="29"/>
        <v>0</v>
      </c>
    </row>
    <row r="100" spans="1:11" outlineLevel="2" x14ac:dyDescent="0.25">
      <c r="A100" s="21" t="s">
        <v>94</v>
      </c>
      <c r="B100" s="22">
        <f t="shared" ref="B100:G100" si="39">B81/B$66</f>
        <v>26.618401624318484</v>
      </c>
      <c r="C100" s="22">
        <f t="shared" si="39"/>
        <v>26.819250674408647</v>
      </c>
      <c r="D100" s="22">
        <f t="shared" si="39"/>
        <v>27.08287857371479</v>
      </c>
      <c r="E100" s="22">
        <f t="shared" si="39"/>
        <v>27.182794212101442</v>
      </c>
      <c r="F100" s="22">
        <f t="shared" si="39"/>
        <v>27.467773976195552</v>
      </c>
      <c r="G100" s="22">
        <f t="shared" si="39"/>
        <v>27.767436596019255</v>
      </c>
      <c r="H100" s="22">
        <f t="shared" si="28"/>
        <v>0</v>
      </c>
      <c r="I100" s="22">
        <f t="shared" si="29"/>
        <v>0</v>
      </c>
      <c r="J100" s="22">
        <f t="shared" si="29"/>
        <v>0</v>
      </c>
    </row>
    <row r="101" spans="1:11" outlineLevel="2" x14ac:dyDescent="0.25">
      <c r="A101" s="21" t="s">
        <v>38</v>
      </c>
      <c r="B101" s="22">
        <f t="shared" ref="B101:G106" si="40">B82/B$66</f>
        <v>18.806479408485885</v>
      </c>
      <c r="C101" s="22">
        <f t="shared" si="40"/>
        <v>18.948383628658284</v>
      </c>
      <c r="D101" s="22">
        <f t="shared" si="40"/>
        <v>19.134642470559363</v>
      </c>
      <c r="E101" s="22">
        <f t="shared" si="40"/>
        <v>19.205235041158627</v>
      </c>
      <c r="F101" s="22">
        <f t="shared" si="40"/>
        <v>19.406579439703378</v>
      </c>
      <c r="G101" s="22">
        <f t="shared" si="40"/>
        <v>19.618297595013605</v>
      </c>
      <c r="H101" s="22">
        <f t="shared" si="28"/>
        <v>0</v>
      </c>
      <c r="I101" s="22">
        <f t="shared" si="29"/>
        <v>0</v>
      </c>
      <c r="J101" s="22">
        <f t="shared" si="29"/>
        <v>0</v>
      </c>
    </row>
    <row r="102" spans="1:11" outlineLevel="2" x14ac:dyDescent="0.25">
      <c r="A102" s="21" t="s">
        <v>92</v>
      </c>
      <c r="B102" s="22">
        <f t="shared" si="40"/>
        <v>36.166306554780547</v>
      </c>
      <c r="C102" s="22">
        <f t="shared" si="40"/>
        <v>36.439199285881315</v>
      </c>
      <c r="D102" s="22">
        <f t="shared" si="40"/>
        <v>36.797389366460315</v>
      </c>
      <c r="E102" s="22">
        <f t="shared" si="40"/>
        <v>36.933144309920436</v>
      </c>
      <c r="F102" s="22">
        <f t="shared" si="40"/>
        <v>37.320345076352652</v>
      </c>
      <c r="G102" s="22">
        <f t="shared" si="40"/>
        <v>37.727495375026159</v>
      </c>
      <c r="H102" s="22">
        <f t="shared" si="28"/>
        <v>0</v>
      </c>
      <c r="I102" s="22">
        <f t="shared" si="29"/>
        <v>0</v>
      </c>
      <c r="J102" s="22">
        <f t="shared" si="29"/>
        <v>0</v>
      </c>
    </row>
    <row r="103" spans="1:11" outlineLevel="1" x14ac:dyDescent="0.25">
      <c r="A103" s="31" t="s">
        <v>99</v>
      </c>
      <c r="B103" s="30">
        <f t="shared" si="40"/>
        <v>389.89090373258063</v>
      </c>
      <c r="C103" s="30">
        <f t="shared" si="40"/>
        <v>392.8328240912374</v>
      </c>
      <c r="D103" s="30">
        <f t="shared" si="40"/>
        <v>396.69429261065778</v>
      </c>
      <c r="E103" s="30">
        <f t="shared" si="40"/>
        <v>398.15779891345539</v>
      </c>
      <c r="F103" s="30">
        <f t="shared" si="40"/>
        <v>402.33201716052849</v>
      </c>
      <c r="G103" s="30">
        <f t="shared" si="40"/>
        <v>406.72130135974186</v>
      </c>
      <c r="H103" s="30">
        <f t="shared" si="28"/>
        <v>0</v>
      </c>
      <c r="I103" s="30">
        <f t="shared" si="29"/>
        <v>0</v>
      </c>
      <c r="J103" s="30">
        <f t="shared" si="29"/>
        <v>0</v>
      </c>
    </row>
    <row r="104" spans="1:11" outlineLevel="1" x14ac:dyDescent="0.25">
      <c r="A104" s="31" t="s">
        <v>112</v>
      </c>
      <c r="B104" s="30">
        <f t="shared" si="40"/>
        <v>121.15387943787897</v>
      </c>
      <c r="C104" s="30">
        <f t="shared" si="40"/>
        <v>137.15903811693912</v>
      </c>
      <c r="D104" s="30">
        <f t="shared" si="40"/>
        <v>158.16688634289764</v>
      </c>
      <c r="E104" s="30">
        <f t="shared" si="40"/>
        <v>166.12891377683349</v>
      </c>
      <c r="F104" s="30">
        <f t="shared" si="40"/>
        <v>188.83823872808304</v>
      </c>
      <c r="G104" s="30">
        <f t="shared" si="40"/>
        <v>212.71760374528429</v>
      </c>
      <c r="H104" s="30">
        <f t="shared" si="28"/>
        <v>0</v>
      </c>
      <c r="I104" s="30">
        <f t="shared" si="29"/>
        <v>0</v>
      </c>
      <c r="J104" s="30">
        <f t="shared" si="29"/>
        <v>0</v>
      </c>
    </row>
    <row r="105" spans="1:11" outlineLevel="1" x14ac:dyDescent="0.25">
      <c r="A105" s="31" t="s">
        <v>109</v>
      </c>
      <c r="B105" s="30">
        <f t="shared" si="40"/>
        <v>77.347300538863252</v>
      </c>
      <c r="C105" s="30">
        <f t="shared" si="40"/>
        <v>89.851333113534579</v>
      </c>
      <c r="D105" s="30">
        <f t="shared" si="40"/>
        <v>98.711574408789062</v>
      </c>
      <c r="E105" s="30">
        <f t="shared" si="40"/>
        <v>81.388750400863842</v>
      </c>
      <c r="F105" s="30">
        <f t="shared" si="40"/>
        <v>91.618404997902061</v>
      </c>
      <c r="G105" s="30">
        <f t="shared" si="40"/>
        <v>100.6985599672623</v>
      </c>
      <c r="H105" s="30">
        <f t="shared" si="28"/>
        <v>0</v>
      </c>
      <c r="I105" s="30">
        <f t="shared" si="29"/>
        <v>0</v>
      </c>
      <c r="J105" s="30">
        <f t="shared" si="29"/>
        <v>0</v>
      </c>
    </row>
    <row r="106" spans="1:11" ht="15.75" outlineLevel="1" thickBot="1" x14ac:dyDescent="0.3">
      <c r="A106" s="32" t="s">
        <v>101</v>
      </c>
      <c r="B106" s="33">
        <f t="shared" si="40"/>
        <v>971.97418536537464</v>
      </c>
      <c r="C106" s="33">
        <f t="shared" si="40"/>
        <v>1125.5237023658196</v>
      </c>
      <c r="D106" s="33">
        <f t="shared" si="40"/>
        <v>1243.9942048395774</v>
      </c>
      <c r="E106" s="33">
        <f t="shared" si="40"/>
        <v>1061.4051681863357</v>
      </c>
      <c r="F106" s="33">
        <f t="shared" si="40"/>
        <v>1196.6406937050058</v>
      </c>
      <c r="G106" s="33">
        <f t="shared" si="40"/>
        <v>1320.4017633851695</v>
      </c>
      <c r="H106" s="33">
        <f t="shared" si="28"/>
        <v>0</v>
      </c>
      <c r="I106" s="33">
        <f t="shared" si="29"/>
        <v>0</v>
      </c>
      <c r="J106" s="33">
        <f t="shared" si="29"/>
        <v>0</v>
      </c>
    </row>
    <row r="107" spans="1:11" ht="15.75" x14ac:dyDescent="0.25">
      <c r="A107" s="35"/>
      <c r="B107" s="22"/>
      <c r="C107" s="22"/>
      <c r="D107" s="22"/>
      <c r="E107" s="22"/>
      <c r="F107" s="22"/>
      <c r="G107" s="22"/>
      <c r="H107" s="22"/>
      <c r="I107" s="22"/>
      <c r="J107" s="22"/>
    </row>
    <row r="108" spans="1:11" ht="19.5" thickBot="1" x14ac:dyDescent="0.35">
      <c r="A108" s="20" t="s">
        <v>102</v>
      </c>
      <c r="B108" s="27">
        <f t="shared" ref="B108:H108" si="41">B125</f>
        <v>80.955399295617639</v>
      </c>
      <c r="C108" s="27">
        <f t="shared" si="41"/>
        <v>82.903897483293946</v>
      </c>
      <c r="D108" s="27">
        <f t="shared" si="41"/>
        <v>79.583731822429371</v>
      </c>
      <c r="E108" s="27">
        <f t="shared" si="41"/>
        <v>64.686507624134308</v>
      </c>
      <c r="F108" s="27">
        <f t="shared" si="41"/>
        <v>64.266038804075507</v>
      </c>
      <c r="G108" s="27">
        <f t="shared" si="41"/>
        <v>63.063291058088261</v>
      </c>
      <c r="H108" s="27">
        <f t="shared" si="41"/>
        <v>0</v>
      </c>
      <c r="I108" s="27">
        <f>I125</f>
        <v>0</v>
      </c>
      <c r="J108" s="27">
        <f>J125</f>
        <v>0</v>
      </c>
      <c r="K108" s="164">
        <f>K125</f>
        <v>0</v>
      </c>
    </row>
    <row r="109" spans="1:11" ht="15.75" outlineLevel="2" thickTop="1" x14ac:dyDescent="0.25">
      <c r="A109" s="28" t="s">
        <v>77</v>
      </c>
      <c r="B109" s="22">
        <f t="shared" ref="B109:G109" si="42">B71/B$68</f>
        <v>7.8319263658554288</v>
      </c>
      <c r="C109" s="22">
        <f t="shared" si="42"/>
        <v>8.1863247203423626</v>
      </c>
      <c r="D109" s="22">
        <f t="shared" si="42"/>
        <v>8.2393128882721722</v>
      </c>
      <c r="E109" s="22">
        <f t="shared" si="42"/>
        <v>5.8522401253990441</v>
      </c>
      <c r="F109" s="22">
        <f t="shared" si="42"/>
        <v>6.1131246917308655</v>
      </c>
      <c r="G109" s="22">
        <f t="shared" si="42"/>
        <v>6.3066184149124931</v>
      </c>
      <c r="H109" s="22">
        <f t="shared" ref="H109:H125" si="43">IFERROR(H71/H$68,0)</f>
        <v>0</v>
      </c>
      <c r="I109" s="22">
        <f t="shared" ref="I109:J121" si="44">IFERROR(I71/I$68,0)</f>
        <v>0</v>
      </c>
      <c r="J109" s="22">
        <f t="shared" si="44"/>
        <v>0</v>
      </c>
    </row>
    <row r="110" spans="1:11" outlineLevel="2" x14ac:dyDescent="0.25">
      <c r="A110" s="28" t="s">
        <v>76</v>
      </c>
      <c r="B110" s="22">
        <f t="shared" ref="B110:G110" si="45">B72/B$68</f>
        <v>3.9912701672147857</v>
      </c>
      <c r="C110" s="22">
        <f t="shared" si="45"/>
        <v>4.0898073090562868</v>
      </c>
      <c r="D110" s="22">
        <f t="shared" si="45"/>
        <v>4.0549189857282331</v>
      </c>
      <c r="E110" s="22">
        <f t="shared" si="45"/>
        <v>2.9823916023668207</v>
      </c>
      <c r="F110" s="22">
        <f t="shared" si="45"/>
        <v>3.0540569668934117</v>
      </c>
      <c r="G110" s="22">
        <f t="shared" si="45"/>
        <v>3.1037572056247908</v>
      </c>
      <c r="H110" s="22">
        <f t="shared" si="43"/>
        <v>0</v>
      </c>
      <c r="I110" s="22">
        <f t="shared" si="44"/>
        <v>0</v>
      </c>
      <c r="J110" s="22">
        <f t="shared" si="44"/>
        <v>0</v>
      </c>
    </row>
    <row r="111" spans="1:11" outlineLevel="2" x14ac:dyDescent="0.25">
      <c r="A111" s="21" t="s">
        <v>96</v>
      </c>
      <c r="B111" s="22">
        <f t="shared" ref="B111:G111" si="46">B73/B$68</f>
        <v>1.3254029234524571</v>
      </c>
      <c r="C111" s="22">
        <f t="shared" si="46"/>
        <v>1.3420204459577645</v>
      </c>
      <c r="D111" s="22">
        <f t="shared" si="46"/>
        <v>1.3182900621235476</v>
      </c>
      <c r="E111" s="22">
        <f t="shared" si="46"/>
        <v>0.99037909814445357</v>
      </c>
      <c r="F111" s="22">
        <f t="shared" si="46"/>
        <v>1.0021515888083385</v>
      </c>
      <c r="G111" s="22">
        <f t="shared" si="46"/>
        <v>1.0090589463859989</v>
      </c>
      <c r="H111" s="22">
        <f t="shared" si="43"/>
        <v>0</v>
      </c>
      <c r="I111" s="22">
        <f t="shared" si="44"/>
        <v>0</v>
      </c>
      <c r="J111" s="22">
        <f t="shared" si="44"/>
        <v>0</v>
      </c>
    </row>
    <row r="112" spans="1:11" outlineLevel="1" x14ac:dyDescent="0.25">
      <c r="A112" s="29" t="s">
        <v>98</v>
      </c>
      <c r="B112" s="30">
        <f t="shared" ref="B112:G112" si="47">B74/B$68</f>
        <v>13.148599456522671</v>
      </c>
      <c r="C112" s="30">
        <f t="shared" si="47"/>
        <v>13.618152475356414</v>
      </c>
      <c r="D112" s="30">
        <f t="shared" si="47"/>
        <v>13.612521936123953</v>
      </c>
      <c r="E112" s="30">
        <f t="shared" si="47"/>
        <v>9.8250108259103186</v>
      </c>
      <c r="F112" s="30">
        <f t="shared" si="47"/>
        <v>10.169333247432617</v>
      </c>
      <c r="G112" s="30">
        <f t="shared" si="47"/>
        <v>10.419434566923282</v>
      </c>
      <c r="H112" s="30">
        <f t="shared" si="43"/>
        <v>0</v>
      </c>
      <c r="I112" s="30">
        <f t="shared" si="44"/>
        <v>0</v>
      </c>
      <c r="J112" s="30">
        <f t="shared" si="44"/>
        <v>0</v>
      </c>
    </row>
    <row r="113" spans="1:11" outlineLevel="2" x14ac:dyDescent="0.25">
      <c r="A113" s="21" t="s">
        <v>87</v>
      </c>
      <c r="B113" s="22">
        <f t="shared" ref="B113:G113" si="48">B75/B$68</f>
        <v>7.1251638744489796</v>
      </c>
      <c r="C113" s="22">
        <f t="shared" si="48"/>
        <v>9.451817570322584</v>
      </c>
      <c r="D113" s="22">
        <f t="shared" si="48"/>
        <v>10.179411147692306</v>
      </c>
      <c r="E113" s="22">
        <f t="shared" si="48"/>
        <v>5.2135828016326533</v>
      </c>
      <c r="F113" s="22">
        <f t="shared" si="48"/>
        <v>6.891484633548389</v>
      </c>
      <c r="G113" s="22">
        <f t="shared" si="48"/>
        <v>7.5995390104615383</v>
      </c>
      <c r="H113" s="22">
        <f t="shared" si="43"/>
        <v>0</v>
      </c>
      <c r="I113" s="22">
        <f t="shared" si="44"/>
        <v>0</v>
      </c>
      <c r="J113" s="22">
        <f t="shared" si="44"/>
        <v>0</v>
      </c>
    </row>
    <row r="114" spans="1:11" outlineLevel="2" x14ac:dyDescent="0.25">
      <c r="A114" s="28" t="s">
        <v>88</v>
      </c>
      <c r="B114" s="22">
        <f t="shared" ref="B114:G114" si="49">B76/B$68</f>
        <v>0.57001310995591847</v>
      </c>
      <c r="C114" s="22">
        <f t="shared" si="49"/>
        <v>0.75614540562580668</v>
      </c>
      <c r="D114" s="22">
        <f t="shared" si="49"/>
        <v>0.81435289181538462</v>
      </c>
      <c r="E114" s="22">
        <f t="shared" si="49"/>
        <v>0.41708662413061226</v>
      </c>
      <c r="F114" s="22">
        <f t="shared" si="49"/>
        <v>0.55131877068387114</v>
      </c>
      <c r="G114" s="22">
        <f t="shared" si="49"/>
        <v>0.60796312083692305</v>
      </c>
      <c r="H114" s="22">
        <f t="shared" si="43"/>
        <v>0</v>
      </c>
      <c r="I114" s="22">
        <f t="shared" si="44"/>
        <v>0</v>
      </c>
      <c r="J114" s="22">
        <f t="shared" si="44"/>
        <v>0</v>
      </c>
    </row>
    <row r="115" spans="1:11" outlineLevel="2" x14ac:dyDescent="0.25">
      <c r="A115" s="28" t="s">
        <v>89</v>
      </c>
      <c r="B115" s="22">
        <f t="shared" ref="B115:G115" si="50">B77/B$68</f>
        <v>8.6753645898706289</v>
      </c>
      <c r="C115" s="22">
        <f t="shared" si="50"/>
        <v>11.27297174604522</v>
      </c>
      <c r="D115" s="22">
        <f t="shared" si="50"/>
        <v>11.299629103916121</v>
      </c>
      <c r="E115" s="22">
        <f t="shared" si="50"/>
        <v>8.1031017120909841</v>
      </c>
      <c r="F115" s="22">
        <f t="shared" si="50"/>
        <v>8.4180733459900434</v>
      </c>
      <c r="G115" s="22">
        <f t="shared" si="50"/>
        <v>8.6490766833085608</v>
      </c>
      <c r="H115" s="22">
        <f t="shared" si="43"/>
        <v>0</v>
      </c>
      <c r="I115" s="22">
        <f t="shared" si="44"/>
        <v>0</v>
      </c>
      <c r="J115" s="22">
        <f t="shared" si="44"/>
        <v>0</v>
      </c>
    </row>
    <row r="116" spans="1:11" outlineLevel="2" x14ac:dyDescent="0.25">
      <c r="A116" s="21" t="s">
        <v>90</v>
      </c>
      <c r="B116" s="22">
        <f t="shared" ref="B116:G116" si="51">B78/B$68</f>
        <v>2.4292817460317462</v>
      </c>
      <c r="C116" s="22">
        <f t="shared" si="51"/>
        <v>2.1483602150537635</v>
      </c>
      <c r="D116" s="22">
        <f t="shared" si="51"/>
        <v>1.8659188034188037</v>
      </c>
      <c r="E116" s="22">
        <f t="shared" si="51"/>
        <v>1.7775396825396825</v>
      </c>
      <c r="F116" s="22">
        <f t="shared" si="51"/>
        <v>1.5664068100358426</v>
      </c>
      <c r="G116" s="22">
        <f t="shared" si="51"/>
        <v>1.393019943019943</v>
      </c>
      <c r="H116" s="22">
        <f t="shared" si="43"/>
        <v>0</v>
      </c>
      <c r="I116" s="22">
        <f t="shared" si="44"/>
        <v>0</v>
      </c>
      <c r="J116" s="22">
        <f t="shared" si="44"/>
        <v>0</v>
      </c>
    </row>
    <row r="117" spans="1:11" outlineLevel="1" x14ac:dyDescent="0.25">
      <c r="A117" s="31" t="s">
        <v>97</v>
      </c>
      <c r="B117" s="30">
        <f t="shared" ref="B117:G117" si="52">B79/B$68</f>
        <v>18.799823320307272</v>
      </c>
      <c r="C117" s="30">
        <f t="shared" si="52"/>
        <v>23.629294937047373</v>
      </c>
      <c r="D117" s="30">
        <f t="shared" si="52"/>
        <v>24.159311946842614</v>
      </c>
      <c r="E117" s="30">
        <f t="shared" si="52"/>
        <v>15.51131082039393</v>
      </c>
      <c r="F117" s="30">
        <f t="shared" si="52"/>
        <v>17.427283560258147</v>
      </c>
      <c r="G117" s="30">
        <f t="shared" si="52"/>
        <v>18.249598757626966</v>
      </c>
      <c r="H117" s="30">
        <f t="shared" si="43"/>
        <v>0</v>
      </c>
      <c r="I117" s="30">
        <f t="shared" si="44"/>
        <v>0</v>
      </c>
      <c r="J117" s="30">
        <f t="shared" si="44"/>
        <v>0</v>
      </c>
    </row>
    <row r="118" spans="1:11" outlineLevel="2" x14ac:dyDescent="0.25">
      <c r="A118" s="21" t="s">
        <v>336</v>
      </c>
      <c r="B118" s="22">
        <f t="shared" ref="B118:G118" si="53">B80/B$68</f>
        <v>25.678178493867666</v>
      </c>
      <c r="C118" s="22">
        <f t="shared" si="53"/>
        <v>22.8801092488041</v>
      </c>
      <c r="D118" s="22">
        <f t="shared" si="53"/>
        <v>20.067437399713043</v>
      </c>
      <c r="E118" s="22">
        <f t="shared" si="53"/>
        <v>19.187471831211173</v>
      </c>
      <c r="F118" s="22">
        <f t="shared" si="53"/>
        <v>17.085684428178237</v>
      </c>
      <c r="G118" s="22">
        <f t="shared" si="53"/>
        <v>15.360221411821364</v>
      </c>
      <c r="H118" s="22">
        <f t="shared" si="43"/>
        <v>0</v>
      </c>
      <c r="I118" s="22">
        <f t="shared" si="44"/>
        <v>0</v>
      </c>
      <c r="J118" s="22">
        <f t="shared" si="44"/>
        <v>0</v>
      </c>
    </row>
    <row r="119" spans="1:11" outlineLevel="2" x14ac:dyDescent="0.25">
      <c r="A119" s="21" t="s">
        <v>94</v>
      </c>
      <c r="B119" s="22">
        <f t="shared" ref="B119:G119" si="54">B81/B$68</f>
        <v>2.2170376174113828</v>
      </c>
      <c r="C119" s="22">
        <f t="shared" si="54"/>
        <v>1.9754540964498293</v>
      </c>
      <c r="D119" s="22">
        <f t="shared" si="54"/>
        <v>1.7326097959338054</v>
      </c>
      <c r="E119" s="22">
        <f t="shared" si="54"/>
        <v>1.6566341278052679</v>
      </c>
      <c r="F119" s="22">
        <f t="shared" si="54"/>
        <v>1.4751671387258745</v>
      </c>
      <c r="G119" s="22">
        <f t="shared" si="54"/>
        <v>1.3261917581073128</v>
      </c>
      <c r="H119" s="22">
        <f t="shared" si="43"/>
        <v>0</v>
      </c>
      <c r="I119" s="22">
        <f t="shared" si="44"/>
        <v>0</v>
      </c>
      <c r="J119" s="22">
        <f t="shared" si="44"/>
        <v>0</v>
      </c>
    </row>
    <row r="120" spans="1:11" outlineLevel="2" x14ac:dyDescent="0.25">
      <c r="A120" s="21" t="s">
        <v>38</v>
      </c>
      <c r="B120" s="22">
        <f t="shared" ref="B120:F123" si="55">B82/B$68</f>
        <v>1.5663852731710857</v>
      </c>
      <c r="C120" s="22">
        <f t="shared" si="55"/>
        <v>1.3957012637960751</v>
      </c>
      <c r="D120" s="22">
        <f t="shared" si="55"/>
        <v>1.2241264862575798</v>
      </c>
      <c r="E120" s="22">
        <f t="shared" si="55"/>
        <v>1.1704480250798088</v>
      </c>
      <c r="F120" s="22">
        <f t="shared" si="55"/>
        <v>1.0422376523606722</v>
      </c>
      <c r="G120" s="22">
        <f t="shared" ref="G120:G125" si="56">G82/G$68</f>
        <v>0.9369833073584275</v>
      </c>
      <c r="H120" s="22">
        <f t="shared" si="43"/>
        <v>0</v>
      </c>
      <c r="I120" s="22">
        <f t="shared" si="44"/>
        <v>0</v>
      </c>
      <c r="J120" s="22">
        <f t="shared" si="44"/>
        <v>0</v>
      </c>
    </row>
    <row r="121" spans="1:11" outlineLevel="2" x14ac:dyDescent="0.25">
      <c r="A121" s="21" t="s">
        <v>92</v>
      </c>
      <c r="B121" s="22">
        <f t="shared" si="55"/>
        <v>3.0122793714828573</v>
      </c>
      <c r="C121" s="22">
        <f t="shared" si="55"/>
        <v>2.684040891915529</v>
      </c>
      <c r="D121" s="22">
        <f t="shared" si="55"/>
        <v>2.3540893966491918</v>
      </c>
      <c r="E121" s="22">
        <f t="shared" si="55"/>
        <v>2.2508615866919399</v>
      </c>
      <c r="F121" s="22">
        <f t="shared" si="55"/>
        <v>2.0043031776166771</v>
      </c>
      <c r="G121" s="22">
        <f t="shared" si="56"/>
        <v>1.8018909756892836</v>
      </c>
      <c r="H121" s="22">
        <f t="shared" si="43"/>
        <v>0</v>
      </c>
      <c r="I121" s="22">
        <f t="shared" si="44"/>
        <v>0</v>
      </c>
      <c r="J121" s="22">
        <f t="shared" si="44"/>
        <v>0</v>
      </c>
    </row>
    <row r="122" spans="1:11" outlineLevel="1" x14ac:dyDescent="0.25">
      <c r="A122" s="31" t="s">
        <v>99</v>
      </c>
      <c r="B122" s="30">
        <f t="shared" si="55"/>
        <v>32.473880755932989</v>
      </c>
      <c r="C122" s="30">
        <f t="shared" si="55"/>
        <v>28.93530550096553</v>
      </c>
      <c r="D122" s="30">
        <f t="shared" si="55"/>
        <v>25.378263078553619</v>
      </c>
      <c r="E122" s="30">
        <f t="shared" si="55"/>
        <v>24.265415570788189</v>
      </c>
      <c r="F122" s="30">
        <f t="shared" si="55"/>
        <v>21.607392396881462</v>
      </c>
      <c r="G122" s="30">
        <f t="shared" si="56"/>
        <v>19.425287452976388</v>
      </c>
      <c r="H122" s="30">
        <f t="shared" si="43"/>
        <v>0</v>
      </c>
      <c r="I122" s="30">
        <f t="shared" ref="I122:J125" si="57">IFERROR(I84/I$68,0)</f>
        <v>0</v>
      </c>
      <c r="J122" s="30">
        <f t="shared" si="57"/>
        <v>0</v>
      </c>
    </row>
    <row r="123" spans="1:11" outlineLevel="1" x14ac:dyDescent="0.25">
      <c r="A123" s="31" t="s">
        <v>112</v>
      </c>
      <c r="B123" s="30">
        <f t="shared" si="55"/>
        <v>10.090865409578409</v>
      </c>
      <c r="C123" s="30">
        <f t="shared" si="55"/>
        <v>10.102869278587702</v>
      </c>
      <c r="D123" s="30">
        <f t="shared" si="55"/>
        <v>10.118625164757171</v>
      </c>
      <c r="E123" s="30">
        <f t="shared" si="55"/>
        <v>10.124596685332625</v>
      </c>
      <c r="F123" s="30">
        <f t="shared" si="55"/>
        <v>10.141628679046061</v>
      </c>
      <c r="G123" s="30">
        <f t="shared" si="56"/>
        <v>10.159538202808964</v>
      </c>
      <c r="H123" s="30">
        <f t="shared" si="43"/>
        <v>0</v>
      </c>
      <c r="I123" s="30">
        <f t="shared" si="57"/>
        <v>0</v>
      </c>
      <c r="J123" s="30">
        <f t="shared" si="57"/>
        <v>0</v>
      </c>
    </row>
    <row r="124" spans="1:11" outlineLevel="1" x14ac:dyDescent="0.25">
      <c r="A124" s="31" t="s">
        <v>109</v>
      </c>
      <c r="B124" s="30">
        <f t="shared" ref="B124:F125" si="58">B86/B$68</f>
        <v>6.4422303532762939</v>
      </c>
      <c r="C124" s="30">
        <f t="shared" si="58"/>
        <v>6.618275291336932</v>
      </c>
      <c r="D124" s="30">
        <f t="shared" si="58"/>
        <v>6.3150096961520177</v>
      </c>
      <c r="E124" s="30">
        <f t="shared" si="58"/>
        <v>4.9601737217092445</v>
      </c>
      <c r="F124" s="30">
        <f t="shared" si="58"/>
        <v>4.9204009204572223</v>
      </c>
      <c r="G124" s="30">
        <f t="shared" si="56"/>
        <v>4.809432077752664</v>
      </c>
      <c r="H124" s="30">
        <f t="shared" si="43"/>
        <v>0</v>
      </c>
      <c r="I124" s="30">
        <f t="shared" si="57"/>
        <v>0</v>
      </c>
      <c r="J124" s="30">
        <f t="shared" si="57"/>
        <v>0</v>
      </c>
    </row>
    <row r="125" spans="1:11" ht="15.75" outlineLevel="1" thickBot="1" x14ac:dyDescent="0.3">
      <c r="A125" s="32" t="s">
        <v>103</v>
      </c>
      <c r="B125" s="33">
        <f t="shared" si="58"/>
        <v>80.955399295617639</v>
      </c>
      <c r="C125" s="33">
        <f t="shared" si="58"/>
        <v>82.903897483293946</v>
      </c>
      <c r="D125" s="33">
        <f t="shared" si="58"/>
        <v>79.583731822429371</v>
      </c>
      <c r="E125" s="33">
        <f t="shared" si="58"/>
        <v>64.686507624134308</v>
      </c>
      <c r="F125" s="33">
        <f t="shared" si="58"/>
        <v>64.266038804075507</v>
      </c>
      <c r="G125" s="33">
        <f t="shared" si="56"/>
        <v>63.063291058088261</v>
      </c>
      <c r="H125" s="33">
        <f t="shared" si="43"/>
        <v>0</v>
      </c>
      <c r="I125" s="33">
        <f t="shared" si="57"/>
        <v>0</v>
      </c>
      <c r="J125" s="33">
        <f t="shared" si="57"/>
        <v>0</v>
      </c>
      <c r="K125" s="165">
        <v>0</v>
      </c>
    </row>
    <row r="127" spans="1:11" ht="18" thickBot="1" x14ac:dyDescent="0.35">
      <c r="A127" s="2" t="s">
        <v>110</v>
      </c>
      <c r="B127" s="2"/>
      <c r="C127" s="2"/>
      <c r="D127" s="2"/>
      <c r="E127" s="2"/>
      <c r="F127" s="2"/>
      <c r="G127" s="2"/>
      <c r="H127" s="2"/>
      <c r="I127" s="2"/>
      <c r="J127" s="2"/>
    </row>
    <row r="128" spans="1:11" ht="18.75" thickTop="1" x14ac:dyDescent="0.35">
      <c r="A128" t="s">
        <v>119</v>
      </c>
      <c r="B128" s="18">
        <f t="shared" ref="B128:G128" si="59">B21*B66</f>
        <v>13825.022448522846</v>
      </c>
      <c r="C128" s="18">
        <f t="shared" si="59"/>
        <v>13721.487019439788</v>
      </c>
      <c r="D128" s="18">
        <f t="shared" si="59"/>
        <v>13587.920464154846</v>
      </c>
      <c r="E128" s="18">
        <f t="shared" si="59"/>
        <v>13537.975424033892</v>
      </c>
      <c r="F128" s="18">
        <f t="shared" si="59"/>
        <v>13397.518135940703</v>
      </c>
      <c r="G128" s="18">
        <f t="shared" si="59"/>
        <v>13252.933835914711</v>
      </c>
      <c r="H128" s="18">
        <f>IFERROR(H21*H66,0)</f>
        <v>0</v>
      </c>
      <c r="I128" s="18">
        <f>IFERROR(I21*I66,0)</f>
        <v>0</v>
      </c>
      <c r="J128" s="18">
        <f>IFERROR(J21*J66,0)</f>
        <v>0</v>
      </c>
    </row>
    <row r="129" spans="1:10" x14ac:dyDescent="0.25">
      <c r="A129" t="s">
        <v>111</v>
      </c>
      <c r="B129" s="17">
        <f t="shared" ref="B129:G129" si="60">B30/B63</f>
        <v>0.79168487493877548</v>
      </c>
      <c r="C129" s="17">
        <f t="shared" si="60"/>
        <v>1.0502019522580648</v>
      </c>
      <c r="D129" s="17">
        <f t="shared" si="60"/>
        <v>1.1310456830769231</v>
      </c>
      <c r="E129" s="17">
        <f t="shared" si="60"/>
        <v>0.57928697795918371</v>
      </c>
      <c r="F129" s="17">
        <f t="shared" si="60"/>
        <v>0.76572051483870995</v>
      </c>
      <c r="G129" s="17">
        <f t="shared" si="60"/>
        <v>0.84439322338461542</v>
      </c>
      <c r="H129" s="17">
        <f>IFERROR(H30/H63,0)</f>
        <v>0</v>
      </c>
      <c r="I129" s="17">
        <f>IFERROR(I30/I63,0)</f>
        <v>0</v>
      </c>
      <c r="J129" s="17">
        <f>IFERROR(J30/J63,0)</f>
        <v>0</v>
      </c>
    </row>
    <row r="135" spans="1:10" x14ac:dyDescent="0.25">
      <c r="A135" s="1"/>
      <c r="B135" s="44"/>
      <c r="C135" s="44"/>
      <c r="D135" s="44"/>
      <c r="E135" s="44"/>
      <c r="F135" s="44"/>
      <c r="G135" s="44"/>
      <c r="H135" s="44"/>
      <c r="I135" s="44"/>
      <c r="J135" s="44"/>
    </row>
  </sheetData>
  <conditionalFormatting sqref="H30:J30 H58:J62 K68 H64:J129 D63:K63">
    <cfRule type="cellIs" dxfId="10" priority="3" operator="lessThan">
      <formula>0.1</formula>
    </cfRule>
  </conditionalFormatting>
  <conditionalFormatting sqref="H43:J49 B44:G44 B47:G47">
    <cfRule type="cellIs" dxfId="9" priority="1" operator="lessThan">
      <formula>0.5</formula>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7"/>
  <dimension ref="A1:Y145"/>
  <sheetViews>
    <sheetView workbookViewId="0">
      <pane ySplit="1" topLeftCell="A101" activePane="bottomLeft" state="frozen"/>
      <selection pane="bottomLeft" activeCell="B26" sqref="B26"/>
    </sheetView>
  </sheetViews>
  <sheetFormatPr baseColWidth="10" defaultRowHeight="15" outlineLevelRow="2" x14ac:dyDescent="0.25"/>
  <cols>
    <col min="1" max="1" width="51.140625" customWidth="1"/>
    <col min="2" max="2" width="24.42578125" customWidth="1"/>
    <col min="3" max="3" width="21.28515625" customWidth="1"/>
    <col min="4" max="4" width="19.5703125" customWidth="1"/>
    <col min="5" max="8" width="15.85546875" customWidth="1"/>
    <col min="23" max="23" width="22" customWidth="1"/>
  </cols>
  <sheetData>
    <row r="1" spans="1:25" ht="35.25" thickBot="1" x14ac:dyDescent="0.35">
      <c r="A1" s="52" t="s">
        <v>51</v>
      </c>
      <c r="B1" s="52" t="s">
        <v>153</v>
      </c>
      <c r="C1" s="52" t="s">
        <v>154</v>
      </c>
      <c r="D1" s="52" t="s">
        <v>155</v>
      </c>
      <c r="E1" s="2" t="s">
        <v>145</v>
      </c>
      <c r="F1" s="160" t="s">
        <v>362</v>
      </c>
      <c r="G1" s="160" t="s">
        <v>362</v>
      </c>
      <c r="H1" s="2" t="s">
        <v>309</v>
      </c>
      <c r="I1" s="102" t="s">
        <v>196</v>
      </c>
      <c r="W1" t="s">
        <v>121</v>
      </c>
      <c r="Y1" t="s">
        <v>314</v>
      </c>
    </row>
    <row r="2" spans="1:25" ht="18" thickTop="1" x14ac:dyDescent="0.3">
      <c r="A2" s="56" t="s">
        <v>313</v>
      </c>
      <c r="B2" s="104" t="s">
        <v>315</v>
      </c>
      <c r="C2" s="104" t="s">
        <v>315</v>
      </c>
      <c r="D2" s="104" t="s">
        <v>315</v>
      </c>
      <c r="E2" s="103" t="s">
        <v>316</v>
      </c>
      <c r="F2" s="103"/>
      <c r="G2" s="103"/>
      <c r="H2" s="103" t="s">
        <v>315</v>
      </c>
      <c r="I2" s="103"/>
    </row>
    <row r="3" spans="1:25" s="55" customFormat="1" ht="39.75" customHeight="1" outlineLevel="1" x14ac:dyDescent="0.25">
      <c r="A3" s="54" t="s">
        <v>180</v>
      </c>
      <c r="B3" s="53" t="s">
        <v>181</v>
      </c>
      <c r="C3" s="53" t="s">
        <v>190</v>
      </c>
      <c r="D3" s="53" t="s">
        <v>189</v>
      </c>
      <c r="E3" s="53" t="s">
        <v>186</v>
      </c>
      <c r="F3" s="53"/>
      <c r="G3" s="53"/>
      <c r="H3" s="53" t="s">
        <v>310</v>
      </c>
    </row>
    <row r="4" spans="1:25" outlineLevel="1" x14ac:dyDescent="0.25">
      <c r="A4" s="36" t="s">
        <v>10</v>
      </c>
      <c r="B4" s="37">
        <v>130</v>
      </c>
      <c r="C4" s="37">
        <v>350</v>
      </c>
      <c r="D4" s="37">
        <v>170</v>
      </c>
      <c r="E4" s="37">
        <v>130</v>
      </c>
      <c r="F4" s="37"/>
      <c r="G4" s="37"/>
      <c r="H4" s="37">
        <v>0</v>
      </c>
      <c r="W4" t="str">
        <f>IF(ISBLANK(B$1),"",B$1)</f>
        <v>Flishugger terreng</v>
      </c>
      <c r="X4" t="str">
        <f>IFERROR(INDEX(W$4:W$12, MATCH(0,INDEX(COUNTIF(X$3:X3, W$4:W$12), 0,0),0)),"")</f>
        <v>Flishugger terreng</v>
      </c>
      <c r="Y4" t="s">
        <v>315</v>
      </c>
    </row>
    <row r="5" spans="1:25" outlineLevel="1" x14ac:dyDescent="0.25">
      <c r="A5" s="36" t="s">
        <v>115</v>
      </c>
      <c r="B5" s="37">
        <v>13</v>
      </c>
      <c r="C5" s="37">
        <v>15</v>
      </c>
      <c r="D5" s="37">
        <v>21</v>
      </c>
      <c r="E5" s="37">
        <v>13</v>
      </c>
      <c r="F5" s="37"/>
      <c r="G5" s="37"/>
      <c r="H5" s="37">
        <v>1</v>
      </c>
      <c r="W5" t="str">
        <f>IF(ISBLANK(C$1),"",C$1)</f>
        <v>Lastebilhugger vegkant</v>
      </c>
      <c r="X5" t="str">
        <f>IFERROR(INDEX(W$4:W$12, MATCH(0,INDEX(COUNTIF(X$3:X4, W$4:W$12), 0,0),0)),"")</f>
        <v>Lastebilhugger vegkant</v>
      </c>
      <c r="Y5" t="s">
        <v>316</v>
      </c>
    </row>
    <row r="6" spans="1:25" ht="44.25" customHeight="1" outlineLevel="1" x14ac:dyDescent="0.25">
      <c r="A6" s="36" t="s">
        <v>161</v>
      </c>
      <c r="B6" s="53" t="s">
        <v>192</v>
      </c>
      <c r="C6" s="53" t="s">
        <v>191</v>
      </c>
      <c r="D6" s="53" t="s">
        <v>182</v>
      </c>
      <c r="E6" s="53" t="s">
        <v>193</v>
      </c>
      <c r="F6" s="53"/>
      <c r="G6" s="53"/>
      <c r="H6" s="53"/>
      <c r="W6" t="str">
        <f>IF(ISBLANK(D$1),"",D$1)</f>
        <v>Traktorhugger vegkant</v>
      </c>
      <c r="X6" t="str">
        <f>IFERROR(INDEX(W$4:W$12, MATCH(0,INDEX(COUNTIF(X$3:X5, W$4:W$12), 0,0),0)),"")</f>
        <v>Traktorhugger vegkant</v>
      </c>
    </row>
    <row r="7" spans="1:25" outlineLevel="1" x14ac:dyDescent="0.25">
      <c r="A7" s="36" t="s">
        <v>178</v>
      </c>
      <c r="B7" s="37">
        <v>330</v>
      </c>
      <c r="C7" s="37">
        <v>0</v>
      </c>
      <c r="D7" s="37">
        <v>0</v>
      </c>
      <c r="E7" s="37">
        <v>0</v>
      </c>
      <c r="F7" s="37">
        <v>0</v>
      </c>
      <c r="G7" s="37">
        <v>0</v>
      </c>
      <c r="H7" s="37">
        <v>320</v>
      </c>
      <c r="W7" t="str">
        <f>IF(ISBLANK(D$1),"",D$1)</f>
        <v>Traktorhugger vegkant</v>
      </c>
      <c r="X7" t="str">
        <f>IFERROR(INDEX(W$4:W$12, MATCH(0,INDEX(COUNTIF(X$3:X6, W$4:W$12), 0,0),0)),"")</f>
        <v>Vegkantbunter</v>
      </c>
    </row>
    <row r="8" spans="1:25" outlineLevel="1" x14ac:dyDescent="0.25">
      <c r="A8" s="36" t="s">
        <v>114</v>
      </c>
      <c r="B8" s="37"/>
      <c r="C8" s="37"/>
      <c r="D8" s="37"/>
      <c r="E8" s="19"/>
      <c r="F8" s="19"/>
      <c r="G8" s="19"/>
      <c r="H8" s="19"/>
      <c r="W8" t="str">
        <f>IF(ISBLANK(E$1),"",E$1)</f>
        <v>Vegkantbunter</v>
      </c>
      <c r="X8" t="str">
        <f>IFERROR(INDEX(W$4:W$12, MATCH(0,INDEX(COUNTIF(X$3:X7, W$4:W$12), 0,0),0)),"")</f>
        <v>TrojanHogger</v>
      </c>
    </row>
    <row r="9" spans="1:25" x14ac:dyDescent="0.25">
      <c r="A9" s="36"/>
      <c r="B9" s="37"/>
      <c r="C9" s="37"/>
      <c r="D9" s="37"/>
      <c r="W9" t="str">
        <f>IF(ISBLANK(F$1),"",F$1)</f>
        <v/>
      </c>
      <c r="X9" t="str">
        <f>IFERROR(INDEX(W$4:W$12, MATCH(0,INDEX(COUNTIF(X$3:X8, W$4:W$12), 0,0),0)),"")</f>
        <v>Ingen</v>
      </c>
    </row>
    <row r="10" spans="1:25" ht="18" thickBot="1" x14ac:dyDescent="0.35">
      <c r="A10" s="2" t="s">
        <v>143</v>
      </c>
      <c r="B10" s="2"/>
      <c r="C10" s="2"/>
      <c r="D10" s="2"/>
      <c r="E10" s="2"/>
      <c r="F10" s="2"/>
      <c r="G10" s="2"/>
      <c r="H10" s="2"/>
      <c r="W10" t="str">
        <f>IF(ISBLANK(G$1),"",G$1)</f>
        <v/>
      </c>
      <c r="X10" t="str">
        <f>IFERROR(INDEX(W$4:W$12, MATCH(0,INDEX(COUNTIF(X$3:X9, W$4:W$12), 0,0),0)),"")</f>
        <v/>
      </c>
    </row>
    <row r="11" spans="1:25" ht="15.75" outlineLevel="1" thickTop="1" x14ac:dyDescent="0.25">
      <c r="A11" s="1" t="s">
        <v>36</v>
      </c>
      <c r="B11" s="36">
        <v>130</v>
      </c>
      <c r="C11" s="36">
        <v>130</v>
      </c>
      <c r="D11" s="36">
        <v>130</v>
      </c>
      <c r="E11" s="36">
        <v>230</v>
      </c>
      <c r="F11" s="36"/>
      <c r="G11" s="36"/>
      <c r="H11" s="36">
        <v>130</v>
      </c>
      <c r="W11" t="str">
        <f>IF(ISBLANK(H$1),"",H$1)</f>
        <v>TrojanHogger</v>
      </c>
      <c r="X11" t="str">
        <f>IFERROR(INDEX(W$4:W$12, MATCH(0,INDEX(COUNTIF(X$3:X10, W$4:W$12), 0,0),0)),"")</f>
        <v/>
      </c>
    </row>
    <row r="12" spans="1:25" outlineLevel="1" x14ac:dyDescent="0.25">
      <c r="A12" s="1" t="s">
        <v>68</v>
      </c>
      <c r="B12" s="36">
        <v>1</v>
      </c>
      <c r="C12" s="36">
        <v>1</v>
      </c>
      <c r="D12" s="36">
        <v>1</v>
      </c>
      <c r="E12" s="36">
        <v>1</v>
      </c>
      <c r="F12" s="36"/>
      <c r="G12" s="36"/>
      <c r="H12" s="36">
        <v>1</v>
      </c>
      <c r="W12" t="str">
        <f>IF(ISBLANK(I$1),"",I$1)</f>
        <v>Ingen</v>
      </c>
      <c r="X12" t="str">
        <f>IFERROR(INDEX(W$4:W$12, MATCH(0,INDEX(COUNTIF(X$3:X11, W$4:W$12), 0,0),0)),"")</f>
        <v/>
      </c>
    </row>
    <row r="13" spans="1:25" outlineLevel="1" x14ac:dyDescent="0.25">
      <c r="A13" s="1" t="s">
        <v>117</v>
      </c>
      <c r="B13" s="36">
        <v>8</v>
      </c>
      <c r="C13" s="36">
        <v>8</v>
      </c>
      <c r="D13" s="36">
        <v>8</v>
      </c>
      <c r="E13" s="36">
        <v>8</v>
      </c>
      <c r="F13" s="36"/>
      <c r="G13" s="36"/>
      <c r="H13" s="36">
        <v>8</v>
      </c>
    </row>
    <row r="14" spans="1:25" x14ac:dyDescent="0.25">
      <c r="E14" s="37"/>
      <c r="F14" s="37"/>
      <c r="G14" s="37"/>
      <c r="H14" s="37"/>
    </row>
    <row r="15" spans="1:25" ht="18" thickBot="1" x14ac:dyDescent="0.35">
      <c r="A15" s="2" t="s">
        <v>52</v>
      </c>
      <c r="B15" s="2"/>
      <c r="C15" s="2"/>
      <c r="D15" s="2"/>
      <c r="E15" s="2"/>
      <c r="F15" s="2"/>
      <c r="G15" s="2"/>
      <c r="H15" s="2"/>
    </row>
    <row r="16" spans="1:25" ht="15.75" outlineLevel="1" thickTop="1" x14ac:dyDescent="0.25">
      <c r="A16" s="1" t="s">
        <v>5</v>
      </c>
      <c r="B16" s="38">
        <v>2000000</v>
      </c>
      <c r="C16" s="38">
        <v>1400000</v>
      </c>
      <c r="D16" s="38">
        <v>1000000</v>
      </c>
      <c r="E16" s="38">
        <v>1500000</v>
      </c>
      <c r="F16" s="38"/>
      <c r="G16" s="38"/>
      <c r="H16" s="38">
        <v>1200000</v>
      </c>
    </row>
    <row r="17" spans="1:8" outlineLevel="1" x14ac:dyDescent="0.25">
      <c r="A17" s="1" t="s">
        <v>8</v>
      </c>
      <c r="B17" s="38">
        <v>3000000</v>
      </c>
      <c r="C17" s="38">
        <v>1500000</v>
      </c>
      <c r="D17" s="38">
        <v>1000000</v>
      </c>
      <c r="E17" s="38">
        <v>2000000</v>
      </c>
      <c r="F17" s="38"/>
      <c r="G17" s="38"/>
      <c r="H17" s="38">
        <v>300000</v>
      </c>
    </row>
    <row r="18" spans="1:8" outlineLevel="1" x14ac:dyDescent="0.25">
      <c r="A18" s="1" t="s">
        <v>6</v>
      </c>
      <c r="B18" s="39">
        <v>10</v>
      </c>
      <c r="C18" s="39">
        <v>10</v>
      </c>
      <c r="D18" s="39">
        <v>10</v>
      </c>
      <c r="E18" s="39">
        <v>10</v>
      </c>
      <c r="F18" s="39"/>
      <c r="G18" s="39"/>
      <c r="H18" s="39">
        <v>10</v>
      </c>
    </row>
    <row r="19" spans="1:8" outlineLevel="1" x14ac:dyDescent="0.25">
      <c r="A19" s="1" t="s">
        <v>179</v>
      </c>
      <c r="B19" s="39">
        <v>10</v>
      </c>
      <c r="C19" s="39">
        <v>10</v>
      </c>
      <c r="D19" s="39">
        <v>10</v>
      </c>
      <c r="E19" s="39">
        <v>10</v>
      </c>
      <c r="F19" s="39"/>
      <c r="G19" s="39"/>
      <c r="H19" s="39">
        <v>10</v>
      </c>
    </row>
    <row r="20" spans="1:8" outlineLevel="1" x14ac:dyDescent="0.25">
      <c r="A20" s="1" t="s">
        <v>323</v>
      </c>
      <c r="B20" s="40">
        <v>0.2</v>
      </c>
      <c r="C20" s="40">
        <v>0.2</v>
      </c>
      <c r="D20" s="40">
        <v>0.2</v>
      </c>
      <c r="E20" s="40">
        <v>0.25</v>
      </c>
      <c r="F20" s="40"/>
      <c r="G20" s="40"/>
      <c r="H20" s="40">
        <v>0.2</v>
      </c>
    </row>
    <row r="21" spans="1:8" outlineLevel="1" x14ac:dyDescent="0.25">
      <c r="A21" s="1" t="s">
        <v>322</v>
      </c>
      <c r="B21" s="40">
        <v>0.2</v>
      </c>
      <c r="C21" s="40">
        <v>0.2</v>
      </c>
      <c r="D21" s="40">
        <v>0.2</v>
      </c>
      <c r="E21" s="40">
        <v>0.2</v>
      </c>
      <c r="F21" s="40"/>
      <c r="G21" s="40"/>
      <c r="H21" s="40">
        <v>0.2</v>
      </c>
    </row>
    <row r="22" spans="1:8" outlineLevel="1" x14ac:dyDescent="0.25">
      <c r="A22" s="1" t="s">
        <v>320</v>
      </c>
      <c r="B22" s="36">
        <v>2000</v>
      </c>
      <c r="C22" s="36">
        <v>2000</v>
      </c>
      <c r="D22" s="36">
        <v>2000</v>
      </c>
      <c r="E22" s="36">
        <v>2000</v>
      </c>
      <c r="F22" s="36"/>
      <c r="G22" s="36"/>
      <c r="H22" s="36">
        <v>0</v>
      </c>
    </row>
    <row r="23" spans="1:8" outlineLevel="1" x14ac:dyDescent="0.25">
      <c r="A23" s="1" t="s">
        <v>321</v>
      </c>
      <c r="B23" s="38">
        <f t="shared" ref="B23:H23" si="0">SUM(B16:B17)*0.01</f>
        <v>50000</v>
      </c>
      <c r="C23" s="38">
        <f t="shared" si="0"/>
        <v>29000</v>
      </c>
      <c r="D23" s="38">
        <f t="shared" si="0"/>
        <v>20000</v>
      </c>
      <c r="E23" s="38">
        <f t="shared" si="0"/>
        <v>35000</v>
      </c>
      <c r="F23" s="38"/>
      <c r="G23" s="38"/>
      <c r="H23" s="38">
        <f t="shared" si="0"/>
        <v>15000</v>
      </c>
    </row>
    <row r="24" spans="1:8" x14ac:dyDescent="0.25">
      <c r="A24" s="1"/>
      <c r="B24" s="38"/>
      <c r="C24" s="38"/>
      <c r="D24" s="38"/>
      <c r="E24" s="38"/>
      <c r="F24" s="38"/>
      <c r="G24" s="38"/>
      <c r="H24" s="38"/>
    </row>
    <row r="25" spans="1:8" ht="18" thickBot="1" x14ac:dyDescent="0.35">
      <c r="A25" s="2" t="s">
        <v>53</v>
      </c>
      <c r="B25" s="2"/>
      <c r="C25" s="2"/>
      <c r="D25" s="2"/>
      <c r="E25" s="2"/>
      <c r="F25" s="2"/>
      <c r="G25" s="2"/>
      <c r="H25" s="2"/>
    </row>
    <row r="26" spans="1:8" ht="15.75" outlineLevel="1" thickTop="1" x14ac:dyDescent="0.25">
      <c r="A26" s="1" t="s">
        <v>383</v>
      </c>
      <c r="B26" s="25">
        <f t="shared" ref="B26:H26" si="1">IF(B2="Flishogging",(0.267*MAXA(B4,B7)*0.5*(B60/(B60+B61))+0.267*B4*0.3*(B61/(B61+B60))),IF(B2="Bunting",0.267*B4*0.35*((B60+B61)/(B61+B60)),""))</f>
        <v>34.1801154638028</v>
      </c>
      <c r="C26" s="41">
        <f t="shared" si="1"/>
        <v>46.725000000000001</v>
      </c>
      <c r="D26" s="41">
        <f t="shared" si="1"/>
        <v>22.695</v>
      </c>
      <c r="E26" s="41">
        <f t="shared" si="1"/>
        <v>12.1485</v>
      </c>
      <c r="F26" s="41" t="str">
        <f t="shared" si="1"/>
        <v/>
      </c>
      <c r="G26" s="41" t="str">
        <f t="shared" si="1"/>
        <v/>
      </c>
      <c r="H26" s="41">
        <f t="shared" si="1"/>
        <v>42.72</v>
      </c>
    </row>
    <row r="27" spans="1:8" outlineLevel="1" x14ac:dyDescent="0.25">
      <c r="A27" s="1" t="s">
        <v>384</v>
      </c>
      <c r="B27" s="41">
        <f>B26</f>
        <v>34.1801154638028</v>
      </c>
      <c r="C27" s="41">
        <f t="shared" ref="C27:H27" si="2">C26</f>
        <v>46.725000000000001</v>
      </c>
      <c r="D27" s="41">
        <f t="shared" si="2"/>
        <v>22.695</v>
      </c>
      <c r="E27" s="41">
        <f t="shared" si="2"/>
        <v>12.1485</v>
      </c>
      <c r="F27" s="41" t="str">
        <f t="shared" si="2"/>
        <v/>
      </c>
      <c r="G27" s="41" t="str">
        <f t="shared" si="2"/>
        <v/>
      </c>
      <c r="H27" s="41">
        <f t="shared" si="2"/>
        <v>42.72</v>
      </c>
    </row>
    <row r="28" spans="1:8" outlineLevel="1" x14ac:dyDescent="0.25">
      <c r="A28" s="1" t="s">
        <v>32</v>
      </c>
      <c r="B28" s="42">
        <v>0.06</v>
      </c>
      <c r="C28" s="42">
        <v>0.06</v>
      </c>
      <c r="D28" s="42">
        <v>0.06</v>
      </c>
      <c r="E28" s="42">
        <v>0.06</v>
      </c>
      <c r="F28" s="42"/>
      <c r="G28" s="42"/>
      <c r="H28" s="42">
        <v>0.06</v>
      </c>
    </row>
    <row r="29" spans="1:8" outlineLevel="1" x14ac:dyDescent="0.25">
      <c r="A29" s="36" t="s">
        <v>57</v>
      </c>
      <c r="B29" s="40">
        <v>0.8</v>
      </c>
      <c r="C29" s="40">
        <v>0.8</v>
      </c>
      <c r="D29" s="40">
        <v>0.8</v>
      </c>
      <c r="E29" s="40">
        <v>0.8</v>
      </c>
      <c r="F29" s="40"/>
      <c r="G29" s="40"/>
      <c r="H29" s="40">
        <v>0.8</v>
      </c>
    </row>
    <row r="30" spans="1:8" outlineLevel="1" x14ac:dyDescent="0.25">
      <c r="A30" s="1" t="s">
        <v>58</v>
      </c>
      <c r="B30" s="40">
        <v>0.8</v>
      </c>
      <c r="C30" s="40">
        <v>0.8</v>
      </c>
      <c r="D30" s="40">
        <v>0.8</v>
      </c>
      <c r="E30" s="40">
        <v>0.8</v>
      </c>
      <c r="F30" s="40"/>
      <c r="G30" s="40"/>
      <c r="H30" s="40">
        <v>0.8</v>
      </c>
    </row>
    <row r="31" spans="1:8" outlineLevel="1" x14ac:dyDescent="0.25">
      <c r="A31" s="1" t="s">
        <v>69</v>
      </c>
      <c r="B31" s="36"/>
      <c r="C31" s="36"/>
      <c r="D31" s="36"/>
      <c r="E31" s="36"/>
      <c r="F31" s="36"/>
      <c r="G31" s="36"/>
      <c r="H31" s="36"/>
    </row>
    <row r="32" spans="1:8" outlineLevel="1" x14ac:dyDescent="0.25">
      <c r="A32" s="1" t="s">
        <v>70</v>
      </c>
      <c r="B32" s="36"/>
      <c r="C32" s="36"/>
      <c r="D32" s="36"/>
      <c r="E32" s="36"/>
      <c r="F32" s="36"/>
      <c r="G32" s="36"/>
      <c r="H32" s="36"/>
    </row>
    <row r="33" spans="1:8" outlineLevel="1" x14ac:dyDescent="0.25">
      <c r="A33" s="1" t="s">
        <v>163</v>
      </c>
      <c r="B33" s="38">
        <v>90000</v>
      </c>
      <c r="C33" s="38">
        <v>90000</v>
      </c>
      <c r="D33" s="38">
        <v>60000</v>
      </c>
      <c r="E33" s="38">
        <v>90000</v>
      </c>
      <c r="F33" s="38"/>
      <c r="G33" s="38"/>
      <c r="H33" s="38">
        <v>0</v>
      </c>
    </row>
    <row r="34" spans="1:8" ht="15.75" outlineLevel="1" x14ac:dyDescent="0.3">
      <c r="A34" s="1" t="s">
        <v>164</v>
      </c>
      <c r="B34" s="38">
        <v>9000</v>
      </c>
      <c r="C34" s="38">
        <v>9000</v>
      </c>
      <c r="D34" s="38">
        <v>9000</v>
      </c>
      <c r="E34" s="38">
        <v>8000</v>
      </c>
      <c r="F34" s="38"/>
      <c r="G34" s="38"/>
      <c r="H34" s="38">
        <v>8000</v>
      </c>
    </row>
    <row r="35" spans="1:8" outlineLevel="1" x14ac:dyDescent="0.25">
      <c r="A35" s="1" t="s">
        <v>165</v>
      </c>
      <c r="B35" s="38">
        <v>100000</v>
      </c>
      <c r="C35" s="38">
        <v>20000</v>
      </c>
      <c r="D35" s="38">
        <v>40000</v>
      </c>
      <c r="E35" s="38">
        <v>20000</v>
      </c>
      <c r="F35" s="38"/>
      <c r="G35" s="38"/>
      <c r="H35" s="38">
        <v>100000</v>
      </c>
    </row>
    <row r="36" spans="1:8" ht="15.75" outlineLevel="1" x14ac:dyDescent="0.3">
      <c r="A36" s="1" t="s">
        <v>166</v>
      </c>
      <c r="B36" s="38">
        <v>20000</v>
      </c>
      <c r="C36" s="38">
        <v>20000</v>
      </c>
      <c r="D36" s="38">
        <v>20000</v>
      </c>
      <c r="E36" s="38">
        <v>20000</v>
      </c>
      <c r="F36" s="38"/>
      <c r="G36" s="38"/>
      <c r="H36" s="38">
        <v>20000</v>
      </c>
    </row>
    <row r="37" spans="1:8" outlineLevel="1" x14ac:dyDescent="0.25">
      <c r="A37" s="1" t="s">
        <v>176</v>
      </c>
      <c r="B37" s="38"/>
      <c r="C37" s="38"/>
      <c r="D37" s="38"/>
      <c r="E37" s="38">
        <v>100</v>
      </c>
      <c r="F37" s="38"/>
      <c r="G37" s="38"/>
      <c r="H37" s="38">
        <v>0</v>
      </c>
    </row>
    <row r="38" spans="1:8" ht="15.75" outlineLevel="1" x14ac:dyDescent="0.3">
      <c r="A38" s="1" t="s">
        <v>175</v>
      </c>
      <c r="B38" s="38"/>
      <c r="C38" s="38"/>
      <c r="D38" s="38"/>
      <c r="E38" s="38">
        <v>30</v>
      </c>
      <c r="F38" s="38"/>
      <c r="G38" s="38"/>
      <c r="H38" s="38">
        <v>0</v>
      </c>
    </row>
    <row r="39" spans="1:8" outlineLevel="1" x14ac:dyDescent="0.25">
      <c r="A39" s="1" t="s">
        <v>174</v>
      </c>
      <c r="B39" s="38"/>
      <c r="C39" s="38"/>
      <c r="D39" s="38"/>
      <c r="E39" s="38">
        <v>400</v>
      </c>
      <c r="F39" s="38"/>
      <c r="G39" s="38"/>
      <c r="H39" s="38">
        <v>0</v>
      </c>
    </row>
    <row r="40" spans="1:8" ht="15.75" outlineLevel="1" x14ac:dyDescent="0.3">
      <c r="A40" s="1" t="s">
        <v>173</v>
      </c>
      <c r="B40" s="38"/>
      <c r="C40" s="38"/>
      <c r="D40" s="38"/>
      <c r="E40" s="38">
        <v>80</v>
      </c>
      <c r="F40" s="38"/>
      <c r="G40" s="38"/>
      <c r="H40" s="38">
        <v>0</v>
      </c>
    </row>
    <row r="41" spans="1:8" outlineLevel="1" x14ac:dyDescent="0.25">
      <c r="A41" s="1" t="s">
        <v>171</v>
      </c>
      <c r="B41" s="38"/>
      <c r="C41" s="38"/>
      <c r="D41" s="38"/>
      <c r="E41" s="46">
        <v>2</v>
      </c>
      <c r="F41" s="46"/>
      <c r="G41" s="46"/>
      <c r="H41" s="46">
        <v>0</v>
      </c>
    </row>
    <row r="42" spans="1:8" outlineLevel="1" x14ac:dyDescent="0.25">
      <c r="A42" s="1" t="s">
        <v>312</v>
      </c>
      <c r="B42" s="38"/>
      <c r="C42" s="38"/>
      <c r="D42" s="38"/>
      <c r="E42" s="38">
        <v>20</v>
      </c>
      <c r="F42" s="38"/>
      <c r="G42" s="38"/>
      <c r="H42" s="38">
        <v>0</v>
      </c>
    </row>
    <row r="43" spans="1:8" outlineLevel="1" x14ac:dyDescent="0.25">
      <c r="A43" s="1" t="s">
        <v>162</v>
      </c>
      <c r="B43" s="38">
        <v>1500</v>
      </c>
      <c r="C43" s="38">
        <v>1500</v>
      </c>
      <c r="D43" s="38">
        <v>1500</v>
      </c>
      <c r="E43" s="38"/>
      <c r="F43" s="38"/>
      <c r="G43" s="38"/>
      <c r="H43" s="38">
        <v>1500</v>
      </c>
    </row>
    <row r="44" spans="1:8" outlineLevel="1" x14ac:dyDescent="0.25">
      <c r="A44" s="1" t="s">
        <v>167</v>
      </c>
      <c r="B44" s="38">
        <f>1500*0.4</f>
        <v>600</v>
      </c>
      <c r="C44" s="38">
        <v>600</v>
      </c>
      <c r="D44" s="38">
        <v>600</v>
      </c>
      <c r="E44" s="38"/>
      <c r="F44" s="38"/>
      <c r="G44" s="38"/>
      <c r="H44" s="38">
        <v>600</v>
      </c>
    </row>
    <row r="45" spans="1:8" ht="15.75" outlineLevel="1" x14ac:dyDescent="0.3">
      <c r="A45" s="1" t="s">
        <v>177</v>
      </c>
      <c r="B45" s="38"/>
      <c r="C45" s="38"/>
      <c r="D45" s="38"/>
      <c r="E45" s="38"/>
      <c r="F45" s="38"/>
      <c r="G45" s="38"/>
      <c r="H45" s="38">
        <v>0</v>
      </c>
    </row>
    <row r="46" spans="1:8" outlineLevel="1" x14ac:dyDescent="0.25">
      <c r="A46" s="1" t="s">
        <v>276</v>
      </c>
      <c r="B46" s="38">
        <v>2000</v>
      </c>
      <c r="C46" s="38">
        <v>500</v>
      </c>
      <c r="D46" s="38">
        <v>500</v>
      </c>
      <c r="E46" s="38">
        <v>500</v>
      </c>
      <c r="F46" s="38"/>
      <c r="G46" s="38"/>
      <c r="H46" s="38">
        <v>500</v>
      </c>
    </row>
    <row r="48" spans="1:8" x14ac:dyDescent="0.25">
      <c r="A48" s="1"/>
      <c r="B48" s="38"/>
      <c r="C48" s="38"/>
      <c r="D48" s="38"/>
      <c r="E48" s="38"/>
      <c r="F48" s="38"/>
      <c r="G48" s="38"/>
      <c r="H48" s="38"/>
    </row>
    <row r="49" spans="1:8" ht="18" thickBot="1" x14ac:dyDescent="0.35">
      <c r="A49" s="2" t="s">
        <v>67</v>
      </c>
      <c r="B49" s="2"/>
      <c r="C49" s="2"/>
      <c r="D49" s="2"/>
      <c r="E49" s="2"/>
      <c r="F49" s="2"/>
      <c r="G49" s="2"/>
      <c r="H49" s="2"/>
    </row>
    <row r="50" spans="1:8" ht="15.75" outlineLevel="1" thickTop="1" x14ac:dyDescent="0.25">
      <c r="A50" s="1" t="s">
        <v>83</v>
      </c>
      <c r="B50" s="36">
        <f t="shared" ref="B50:H50" si="3">B13</f>
        <v>8</v>
      </c>
      <c r="C50" s="36">
        <f t="shared" si="3"/>
        <v>8</v>
      </c>
      <c r="D50" s="36">
        <f t="shared" si="3"/>
        <v>8</v>
      </c>
      <c r="E50" s="36">
        <f t="shared" si="3"/>
        <v>8</v>
      </c>
      <c r="F50" s="36">
        <f t="shared" si="3"/>
        <v>0</v>
      </c>
      <c r="G50" s="36">
        <f t="shared" si="3"/>
        <v>0</v>
      </c>
      <c r="H50" s="36">
        <f t="shared" si="3"/>
        <v>8</v>
      </c>
    </row>
    <row r="51" spans="1:8" outlineLevel="1" x14ac:dyDescent="0.25">
      <c r="A51" s="1" t="s">
        <v>337</v>
      </c>
      <c r="B51" s="38">
        <f>IF(B50&gt;0,Forutsetninger!$D$19,0)</f>
        <v>247.08698530885721</v>
      </c>
      <c r="C51" s="38">
        <f>IF(C50&gt;0,Forutsetninger!$D$19,0)</f>
        <v>247.08698530885721</v>
      </c>
      <c r="D51" s="38">
        <f>IF(D50&gt;0,Forutsetninger!$D$19,0)</f>
        <v>247.08698530885721</v>
      </c>
      <c r="E51" s="38">
        <f>IF(E50&gt;0,Forutsetninger!$D$19,0)</f>
        <v>247.08698530885721</v>
      </c>
      <c r="F51" s="38">
        <f>IF(F50&gt;0,Forutsetninger!$D$19,0)</f>
        <v>0</v>
      </c>
      <c r="G51" s="38">
        <f>IF(G50&gt;0,Forutsetninger!$D$19,0)</f>
        <v>0</v>
      </c>
      <c r="H51" s="38">
        <f>IF(H50&gt;0,Forutsetninger!$D$19,0)</f>
        <v>247.08698530885721</v>
      </c>
    </row>
    <row r="52" spans="1:8" outlineLevel="1" x14ac:dyDescent="0.25">
      <c r="A52" s="1" t="s">
        <v>82</v>
      </c>
      <c r="B52" s="38">
        <v>100</v>
      </c>
      <c r="C52" s="38">
        <v>100</v>
      </c>
      <c r="D52" s="38">
        <v>100</v>
      </c>
      <c r="E52" s="38">
        <v>100</v>
      </c>
      <c r="F52" s="38"/>
      <c r="G52" s="38"/>
      <c r="H52" s="38">
        <v>100</v>
      </c>
    </row>
    <row r="53" spans="1:8" outlineLevel="1" x14ac:dyDescent="0.25">
      <c r="A53" s="1" t="s">
        <v>72</v>
      </c>
      <c r="B53" s="38">
        <v>50</v>
      </c>
      <c r="C53" s="38">
        <v>0</v>
      </c>
      <c r="D53" s="38">
        <v>0</v>
      </c>
      <c r="E53" s="38">
        <v>0</v>
      </c>
      <c r="F53" s="38"/>
      <c r="G53" s="38"/>
      <c r="H53" s="38">
        <v>0</v>
      </c>
    </row>
    <row r="54" spans="1:8" outlineLevel="1" x14ac:dyDescent="0.25">
      <c r="A54" s="1" t="s">
        <v>85</v>
      </c>
      <c r="B54" s="38">
        <f>IF(B50&gt;0,SUM(Forutsetninger!$D$20),0)</f>
        <v>3000</v>
      </c>
      <c r="C54" s="38">
        <f>IF(C50&gt;0,SUM(Forutsetninger!$D$20),0)</f>
        <v>3000</v>
      </c>
      <c r="D54" s="38">
        <f>IF(D50&gt;0,SUM(Forutsetninger!$D$20),0)</f>
        <v>3000</v>
      </c>
      <c r="E54" s="38">
        <f>IF(E50&gt;0,SUM(Forutsetninger!$D$20),0)</f>
        <v>3000</v>
      </c>
      <c r="F54" s="38">
        <f>IF(F50&gt;0,SUM(Forutsetninger!$D$20),0)</f>
        <v>0</v>
      </c>
      <c r="G54" s="38">
        <f>IF(G50&gt;0,SUM(Forutsetninger!$D$20),0)</f>
        <v>0</v>
      </c>
      <c r="H54" s="38">
        <f>IF(H50&gt;0,SUM(Forutsetninger!$D$20),0)</f>
        <v>3000</v>
      </c>
    </row>
    <row r="55" spans="1:8" outlineLevel="1" x14ac:dyDescent="0.25">
      <c r="A55" s="1" t="s">
        <v>183</v>
      </c>
      <c r="B55" s="38">
        <v>30</v>
      </c>
      <c r="C55" s="38">
        <v>30</v>
      </c>
      <c r="D55" s="38">
        <v>30</v>
      </c>
      <c r="E55" s="38">
        <v>30</v>
      </c>
      <c r="F55" s="38"/>
      <c r="G55" s="38"/>
      <c r="H55" s="38">
        <v>30</v>
      </c>
    </row>
    <row r="56" spans="1:8" x14ac:dyDescent="0.25">
      <c r="A56" s="1"/>
      <c r="B56" s="38"/>
      <c r="C56" s="38"/>
      <c r="D56" s="38"/>
      <c r="E56" s="38"/>
      <c r="F56" s="38"/>
      <c r="G56" s="38"/>
      <c r="H56" s="38"/>
    </row>
    <row r="57" spans="1:8" ht="18" thickBot="1" x14ac:dyDescent="0.35">
      <c r="A57" s="2" t="s">
        <v>74</v>
      </c>
      <c r="B57" s="2"/>
      <c r="C57" s="2"/>
      <c r="D57" s="2"/>
      <c r="E57" s="2"/>
      <c r="F57" s="2"/>
      <c r="G57" s="2"/>
      <c r="H57" s="2"/>
    </row>
    <row r="58" spans="1:8" ht="15.75" outlineLevel="1" thickTop="1" x14ac:dyDescent="0.25">
      <c r="A58" s="1" t="s">
        <v>194</v>
      </c>
      <c r="B58" s="38">
        <v>80</v>
      </c>
      <c r="C58" s="38">
        <v>0</v>
      </c>
      <c r="D58" s="38">
        <v>0</v>
      </c>
      <c r="E58" s="38">
        <v>0</v>
      </c>
      <c r="F58" s="38"/>
      <c r="G58" s="38"/>
      <c r="H58" s="38">
        <v>0</v>
      </c>
    </row>
    <row r="59" spans="1:8" ht="15.75" outlineLevel="1" x14ac:dyDescent="0.3">
      <c r="A59" s="1" t="s">
        <v>319</v>
      </c>
      <c r="B59" s="46">
        <f t="shared" ref="B59:H59" si="4">IF(B2="Flishogging",(0.02+ 0.2 + (13.1/(0.03*(MAXA(B4,B7)))) + 566/MAXA(B4,B7))*0.7,IF(B2="Bunting",12*0.4,""))</f>
        <v>2.2808686868686867</v>
      </c>
      <c r="C59" s="46">
        <f t="shared" si="4"/>
        <v>2.1593333333333331</v>
      </c>
      <c r="D59" s="46">
        <f t="shared" si="4"/>
        <v>4.2826274509803923</v>
      </c>
      <c r="E59" s="46">
        <f t="shared" si="4"/>
        <v>4.8000000000000007</v>
      </c>
      <c r="F59" s="46" t="str">
        <f t="shared" si="4"/>
        <v/>
      </c>
      <c r="G59" s="46" t="str">
        <f t="shared" si="4"/>
        <v/>
      </c>
      <c r="H59" s="46">
        <f t="shared" si="4"/>
        <v>2.3473333333333333</v>
      </c>
    </row>
    <row r="60" spans="1:8" ht="15.75" outlineLevel="1" x14ac:dyDescent="0.3">
      <c r="A60" s="1" t="s">
        <v>318</v>
      </c>
      <c r="B60" s="46">
        <v>2.2999999999999998</v>
      </c>
      <c r="C60" s="46">
        <v>2.2000000000000002</v>
      </c>
      <c r="D60" s="46">
        <v>4.3</v>
      </c>
      <c r="E60" s="46">
        <v>4.8</v>
      </c>
      <c r="F60" s="46"/>
      <c r="G60" s="46"/>
      <c r="H60" s="46">
        <f>H59</f>
        <v>2.3473333333333333</v>
      </c>
    </row>
    <row r="61" spans="1:8" ht="32.25" customHeight="1" outlineLevel="1" x14ac:dyDescent="0.3">
      <c r="A61" s="3" t="s">
        <v>317</v>
      </c>
      <c r="B61" s="47">
        <f>(5 + 2*B58 / 1000/2.3*60) / 24 /0.4</f>
        <v>0.95561594202898559</v>
      </c>
      <c r="C61" s="47">
        <v>0</v>
      </c>
      <c r="D61" s="47">
        <v>0</v>
      </c>
      <c r="E61" s="47">
        <v>0</v>
      </c>
      <c r="F61" s="47"/>
      <c r="G61" s="47"/>
      <c r="H61" s="47">
        <v>0</v>
      </c>
    </row>
    <row r="62" spans="1:8" ht="15.75" outlineLevel="1" x14ac:dyDescent="0.3">
      <c r="A62" s="1" t="s">
        <v>78</v>
      </c>
      <c r="B62" s="46">
        <v>0.9</v>
      </c>
      <c r="C62" s="46">
        <v>0.9</v>
      </c>
      <c r="D62" s="46">
        <v>0.9</v>
      </c>
      <c r="E62" s="46">
        <v>0.9</v>
      </c>
      <c r="F62" s="46"/>
      <c r="G62" s="46"/>
      <c r="H62" s="46">
        <v>0.9</v>
      </c>
    </row>
    <row r="63" spans="1:8" ht="15.75" outlineLevel="1" x14ac:dyDescent="0.3">
      <c r="A63" s="1" t="s">
        <v>104</v>
      </c>
      <c r="B63" s="36">
        <v>0.8</v>
      </c>
      <c r="C63" s="36">
        <v>0.72</v>
      </c>
      <c r="D63" s="36">
        <v>0.71</v>
      </c>
      <c r="E63" s="36">
        <v>0.75</v>
      </c>
      <c r="F63" s="36"/>
      <c r="G63" s="36"/>
      <c r="H63" s="36">
        <v>0.75</v>
      </c>
    </row>
    <row r="64" spans="1:8" outlineLevel="1" x14ac:dyDescent="0.25">
      <c r="A64" s="1" t="s">
        <v>106</v>
      </c>
      <c r="B64" s="46">
        <v>1.5</v>
      </c>
      <c r="C64" s="46">
        <v>1</v>
      </c>
      <c r="D64" s="46">
        <v>1</v>
      </c>
      <c r="E64" s="46">
        <v>1</v>
      </c>
      <c r="F64" s="46"/>
      <c r="G64" s="46"/>
      <c r="H64" s="46">
        <v>1</v>
      </c>
    </row>
    <row r="65" spans="1:8" x14ac:dyDescent="0.25">
      <c r="E65" s="19"/>
      <c r="F65" s="19"/>
      <c r="G65" s="19"/>
      <c r="H65" s="19"/>
    </row>
    <row r="66" spans="1:8" ht="18" thickBot="1" x14ac:dyDescent="0.35">
      <c r="A66" s="20" t="s">
        <v>79</v>
      </c>
      <c r="B66" s="20"/>
      <c r="C66" s="20"/>
      <c r="D66" s="20"/>
      <c r="E66" s="20"/>
      <c r="F66" s="20"/>
      <c r="G66" s="20"/>
      <c r="H66" s="20"/>
    </row>
    <row r="67" spans="1:8" ht="15.75" outlineLevel="1" thickTop="1" x14ac:dyDescent="0.25">
      <c r="A67" s="21" t="s">
        <v>105</v>
      </c>
      <c r="B67" s="22">
        <f>B11*B13*B12</f>
        <v>1040</v>
      </c>
      <c r="C67" s="22">
        <f>C11*C13*C12</f>
        <v>1040</v>
      </c>
      <c r="D67" s="22">
        <f>D11*D13*D12</f>
        <v>1040</v>
      </c>
      <c r="E67" s="22">
        <f>E11*E13*E12</f>
        <v>1840</v>
      </c>
      <c r="F67" s="22"/>
      <c r="G67" s="22"/>
      <c r="H67" s="22">
        <f>H11*H13*H12</f>
        <v>1040</v>
      </c>
    </row>
    <row r="68" spans="1:8" ht="15.75" outlineLevel="1" x14ac:dyDescent="0.3">
      <c r="A68" s="21" t="s">
        <v>116</v>
      </c>
      <c r="B68" s="25">
        <f t="shared" ref="B68:H68" si="5">1/(B60+B61)*B62*60</f>
        <v>16.586723053808914</v>
      </c>
      <c r="C68" s="25">
        <f t="shared" si="5"/>
        <v>24.545454545454543</v>
      </c>
      <c r="D68" s="25">
        <f t="shared" si="5"/>
        <v>12.558139534883722</v>
      </c>
      <c r="E68" s="25">
        <f t="shared" si="5"/>
        <v>11.25</v>
      </c>
      <c r="F68" s="25"/>
      <c r="G68" s="25"/>
      <c r="H68" s="25">
        <f t="shared" si="5"/>
        <v>23.004828173814257</v>
      </c>
    </row>
    <row r="69" spans="1:8" outlineLevel="1" x14ac:dyDescent="0.25">
      <c r="A69" s="21" t="s">
        <v>107</v>
      </c>
      <c r="B69" s="22">
        <f>Forutsetninger!$D$2/B68/B63+B64</f>
        <v>16.572296027911971</v>
      </c>
      <c r="C69" s="22">
        <f>Forutsetninger!$D$2/C68/C63+C64</f>
        <v>12.31687242798354</v>
      </c>
      <c r="D69" s="22">
        <f>Forutsetninger!$D$2/D68/D63+D64</f>
        <v>23.430881585811161</v>
      </c>
      <c r="E69" s="22">
        <f>Forutsetninger!$D$2/E68/E63+E64</f>
        <v>24.703703703703706</v>
      </c>
      <c r="F69" s="22"/>
      <c r="G69" s="22"/>
      <c r="H69" s="22">
        <f>Forutsetninger!$D$2/H68/H63+H64</f>
        <v>12.591769547325102</v>
      </c>
    </row>
    <row r="70" spans="1:8" outlineLevel="1" x14ac:dyDescent="0.25">
      <c r="A70" s="21" t="s">
        <v>86</v>
      </c>
      <c r="B70" s="22">
        <f t="shared" ref="B70:H70" si="6">B67/B69</f>
        <v>62.755335666728065</v>
      </c>
      <c r="C70" s="22">
        <f t="shared" si="6"/>
        <v>84.437019712662874</v>
      </c>
      <c r="D70" s="22">
        <f t="shared" si="6"/>
        <v>44.385867266291164</v>
      </c>
      <c r="E70" s="22">
        <f t="shared" si="6"/>
        <v>74.482758620689651</v>
      </c>
      <c r="F70" s="22"/>
      <c r="G70" s="22"/>
      <c r="H70" s="22">
        <f t="shared" si="6"/>
        <v>82.593633570821623</v>
      </c>
    </row>
    <row r="71" spans="1:8" ht="15.75" outlineLevel="1" x14ac:dyDescent="0.3">
      <c r="A71" s="21" t="s">
        <v>80</v>
      </c>
      <c r="B71" s="22">
        <f>B11*B12*B13*B63-(B64*B70)</f>
        <v>737.86699649990794</v>
      </c>
      <c r="C71" s="22">
        <f>C11*C12*C13*C63-(C64*C70)</f>
        <v>664.36298028733711</v>
      </c>
      <c r="D71" s="22">
        <f>D11*D12*D13*D63-(D64*D70)</f>
        <v>694.01413273370883</v>
      </c>
      <c r="E71" s="22">
        <f>E11*E12*E13*E63-(E64*E70)</f>
        <v>1305.5172413793102</v>
      </c>
      <c r="F71" s="22"/>
      <c r="G71" s="22"/>
      <c r="H71" s="22">
        <f>H11*H12*H13*H63-(H64*H70)</f>
        <v>697.40636642917843</v>
      </c>
    </row>
    <row r="72" spans="1:8" outlineLevel="1" x14ac:dyDescent="0.25">
      <c r="A72" s="21" t="s">
        <v>108</v>
      </c>
      <c r="B72" s="24">
        <f>IF(B67&gt;0,B71/B67,0)</f>
        <v>0.70948749663452682</v>
      </c>
      <c r="C72" s="24">
        <f t="shared" ref="C72:H72" si="7">IF(C67&gt;0,C71/C67,0)</f>
        <v>0.63881055796859343</v>
      </c>
      <c r="D72" s="24">
        <f t="shared" si="7"/>
        <v>0.66732128147472003</v>
      </c>
      <c r="E72" s="24">
        <f t="shared" si="7"/>
        <v>0.70952023988005986</v>
      </c>
      <c r="F72" s="24"/>
      <c r="G72" s="24"/>
      <c r="H72" s="24">
        <f t="shared" si="7"/>
        <v>0.67058304464344076</v>
      </c>
    </row>
    <row r="73" spans="1:8" outlineLevel="1" x14ac:dyDescent="0.25">
      <c r="A73" s="21" t="s">
        <v>81</v>
      </c>
      <c r="B73" s="22">
        <f t="shared" ref="B73:H73" si="8">B71*B68</f>
        <v>12238.795521489765</v>
      </c>
      <c r="C73" s="22">
        <f t="shared" si="8"/>
        <v>16307.091334325545</v>
      </c>
      <c r="D73" s="22">
        <f t="shared" si="8"/>
        <v>8715.5263180512284</v>
      </c>
      <c r="E73" s="22">
        <f t="shared" si="8"/>
        <v>14687.068965517241</v>
      </c>
      <c r="F73" s="22"/>
      <c r="G73" s="22"/>
      <c r="H73" s="22">
        <f t="shared" si="8"/>
        <v>16043.713627027393</v>
      </c>
    </row>
    <row r="74" spans="1:8" x14ac:dyDescent="0.25">
      <c r="A74" s="21"/>
      <c r="B74" s="22"/>
      <c r="C74" s="22"/>
      <c r="D74" s="22"/>
    </row>
    <row r="75" spans="1:8" ht="18" thickBot="1" x14ac:dyDescent="0.35">
      <c r="A75" s="20" t="s">
        <v>75</v>
      </c>
      <c r="B75" s="27">
        <f t="shared" ref="B75:H75" si="9">B93</f>
        <v>1605052.3343199207</v>
      </c>
      <c r="C75" s="27">
        <f t="shared" si="9"/>
        <v>1248247.8427852336</v>
      </c>
      <c r="D75" s="27">
        <f t="shared" si="9"/>
        <v>891451.73915717041</v>
      </c>
      <c r="E75" s="27">
        <f t="shared" si="9"/>
        <v>2044617.4479802994</v>
      </c>
      <c r="F75" s="27">
        <f t="shared" si="9"/>
        <v>0</v>
      </c>
      <c r="G75" s="27">
        <f t="shared" si="9"/>
        <v>0</v>
      </c>
      <c r="H75" s="27">
        <f t="shared" si="9"/>
        <v>1023590.1159940583</v>
      </c>
    </row>
    <row r="76" spans="1:8" ht="15.75" outlineLevel="2" thickTop="1" x14ac:dyDescent="0.25">
      <c r="A76" s="28" t="s">
        <v>77</v>
      </c>
      <c r="B76" s="22">
        <f>IFERROR((B16-B33-B35-(B16*B20))/B18 + (B17-(B17*B21))/B19,0)</f>
        <v>381000</v>
      </c>
      <c r="C76" s="22">
        <f>IFERROR((C16-C33-C35-(C16*C20))/C18 + (C17-(C17*C21))/C19,0)</f>
        <v>221000</v>
      </c>
      <c r="D76" s="22">
        <f>IFERROR((D16-D33-D35-(D16*D20))/D18 + (D17-(D17*D21))/D19,0)</f>
        <v>150000</v>
      </c>
      <c r="E76" s="22">
        <f>IFERROR((E16-E33-E35-(E16*E20))/E18 + (E17-(E17*E21))/E19,0)</f>
        <v>261500</v>
      </c>
      <c r="F76" s="22" t="str">
        <f>IFERROR((F16-F33-F35-(F16*F20))/F18 + (F17-(F17*F21))/F19,"")</f>
        <v/>
      </c>
      <c r="G76" s="22" t="str">
        <f>IFERROR((G16-G33-G35-(G16*G20))/G18 + (G17-(G17*G21))/G19,"")</f>
        <v/>
      </c>
      <c r="H76" s="22">
        <f>IFERROR((H16-H33-H35-(H16*H20))/H18 + (H17-(H17*H21))/H19,"")</f>
        <v>110000</v>
      </c>
    </row>
    <row r="77" spans="1:8" outlineLevel="2" x14ac:dyDescent="0.25">
      <c r="A77" s="28" t="s">
        <v>76</v>
      </c>
      <c r="B77" s="22">
        <f>IFERROR(((((B16*(B18+1))+((B16*B20)*(B18-1)))/(B18*2) + ((B17*(B19+1))+((B17*B21)*(B19-1)))/(B19*2))*Forutsetninger!$D$22), 0)</f>
        <v>160000</v>
      </c>
      <c r="C77" s="22">
        <f>IFERROR(((((C16*(C18+1))+((C16*C20)*(C18-1)))/(C18*2) + ((C17*(C19+1))+((C17*C21)*(C19-1)))/(C19*2))*Forutsetninger!$D$22), 0)</f>
        <v>92800</v>
      </c>
      <c r="D77" s="22">
        <f>IFERROR(((((D16*(D18+1))+((D16*D20)*(D18-1)))/(D18*2) + ((D17*(D19+1))+((D17*D21)*(D19-1)))/(D19*2))*Forutsetninger!$D$22), 0)</f>
        <v>64000</v>
      </c>
      <c r="E77" s="22">
        <f>IFERROR(((((E16*(E18+1))+((E16*E20)*(E18-1)))/(E18*2) + ((E17*(E19+1))+((E17*E21)*(E19-1)))/(E19*2))*Forutsetninger!$D$22), 0)</f>
        <v>113687.5</v>
      </c>
      <c r="F77" s="22" t="str">
        <f>IF(F16&gt;0,((((F16*(F18+1))+((F16*F20)*(F18-1)))/(F18*2) + ((F17*(F19+1))+((F17*F21)*(F19-1)))/(F19*2))*Forutsetninger!$D$22), "")</f>
        <v/>
      </c>
      <c r="G77" s="22" t="str">
        <f>IF(G16&gt;0,((((G16*(G18+1))+((G16*G20)*(G18-1)))/(G18*2) + ((G17*(G19+1))+((G17*G21)*(G19-1)))/(G19*2))*Forutsetninger!$D$22), "")</f>
        <v/>
      </c>
      <c r="H77" s="22">
        <f>IF(H16&gt;0,((((H16*(H18+1))+((H16*H20)*(H18-1)))/(H18*2) + ((H17*(H19+1))+((H17*H21)*(H19-1)))/(H19*2))*Forutsetninger!$D$22), "")</f>
        <v>48000</v>
      </c>
    </row>
    <row r="78" spans="1:8" outlineLevel="2" x14ac:dyDescent="0.25">
      <c r="A78" s="21" t="s">
        <v>96</v>
      </c>
      <c r="B78" s="22">
        <f>IFERROR(B23+B22,0)</f>
        <v>52000</v>
      </c>
      <c r="C78" s="22">
        <f>IFERROR(C23+C22,0)</f>
        <v>31000</v>
      </c>
      <c r="D78" s="22">
        <f>IFERROR(D23+D22,0)</f>
        <v>22000</v>
      </c>
      <c r="E78" s="22">
        <f>IFERROR(E23+E22,0)</f>
        <v>37000</v>
      </c>
      <c r="F78" s="22" t="str">
        <f>IF((F23+F22)&gt;0,F23+F22,"")</f>
        <v/>
      </c>
      <c r="G78" s="22" t="str">
        <f>IF((G23+G22)&gt;0,G23+G22,"")</f>
        <v/>
      </c>
      <c r="H78" s="22">
        <f>IF((H23+H22)&gt;0,H23+H22,"")</f>
        <v>15000</v>
      </c>
    </row>
    <row r="79" spans="1:8" outlineLevel="1" x14ac:dyDescent="0.25">
      <c r="A79" s="29" t="s">
        <v>98</v>
      </c>
      <c r="B79" s="30">
        <f t="shared" ref="B79:G79" si="10">SUM(B76:B78)</f>
        <v>593000</v>
      </c>
      <c r="C79" s="30">
        <f t="shared" si="10"/>
        <v>344800</v>
      </c>
      <c r="D79" s="30">
        <f t="shared" si="10"/>
        <v>236000</v>
      </c>
      <c r="E79" s="30">
        <f t="shared" si="10"/>
        <v>412187.5</v>
      </c>
      <c r="F79" s="30">
        <f t="shared" si="10"/>
        <v>0</v>
      </c>
      <c r="G79" s="30">
        <f t="shared" si="10"/>
        <v>0</v>
      </c>
      <c r="H79" s="30">
        <f>IF(SUM(H76:H78)&gt;0,SUM(H76:H78),"")</f>
        <v>173000</v>
      </c>
    </row>
    <row r="80" spans="1:8" outlineLevel="2" x14ac:dyDescent="0.25">
      <c r="A80" s="21" t="s">
        <v>87</v>
      </c>
      <c r="B80" s="22">
        <f>IFERROR(B27*B71*Forutsetninger!$D$25,0)</f>
        <v>226983.41223566607</v>
      </c>
      <c r="C80" s="22">
        <f>IFERROR(C27*C71*Forutsetninger!$D$25,0)</f>
        <v>279381.24228533247</v>
      </c>
      <c r="D80" s="22">
        <f>IFERROR(D27*D71*Forutsetninger!$D$25,0)</f>
        <v>141755.8566815237</v>
      </c>
      <c r="E80" s="22">
        <f>IFERROR(E27*E71*Forutsetninger!$D$25,0)</f>
        <v>142740.68586206896</v>
      </c>
      <c r="F80" s="22">
        <f>IFERROR(F27*F71*Forutsetninger!$D$25,0)</f>
        <v>0</v>
      </c>
      <c r="G80" s="22">
        <f>IFERROR(G27*G71*Forutsetninger!$D$25,0)</f>
        <v>0</v>
      </c>
      <c r="H80" s="22">
        <f>IFERROR(H27*H71*Forutsetninger!$D$25,0)</f>
        <v>268138.79976469051</v>
      </c>
    </row>
    <row r="81" spans="1:8" outlineLevel="2" x14ac:dyDescent="0.25">
      <c r="A81" s="28" t="s">
        <v>88</v>
      </c>
      <c r="B81" s="22">
        <f>IFERROR(B80*B28,0)</f>
        <v>13619.004734139964</v>
      </c>
      <c r="C81" s="22">
        <f>IFERROR(C80*C28,0)</f>
        <v>16762.874537119947</v>
      </c>
      <c r="D81" s="22">
        <f>IFERROR(D80*D28,0)</f>
        <v>8505.3514008914208</v>
      </c>
      <c r="E81" s="22">
        <f>IFERROR(E80*E28,0)</f>
        <v>8564.4411517241369</v>
      </c>
      <c r="F81" s="22">
        <f>IFERROR(F80*F28,"")</f>
        <v>0</v>
      </c>
      <c r="G81" s="22">
        <f>IFERROR(G80*G28,"")</f>
        <v>0</v>
      </c>
      <c r="H81" s="22">
        <f>IFERROR(H80*H28,"")</f>
        <v>16088.327985881429</v>
      </c>
    </row>
    <row r="82" spans="1:8" outlineLevel="2" x14ac:dyDescent="0.25">
      <c r="A82" s="28" t="s">
        <v>89</v>
      </c>
      <c r="B82" s="22">
        <f t="shared" ref="B82:H82" si="11">IFERROR((B16-B33-B35)*B29/B18,0)</f>
        <v>144800</v>
      </c>
      <c r="C82" s="22">
        <f t="shared" si="11"/>
        <v>103200</v>
      </c>
      <c r="D82" s="22">
        <f t="shared" si="11"/>
        <v>72000</v>
      </c>
      <c r="E82" s="22">
        <f t="shared" si="11"/>
        <v>111200</v>
      </c>
      <c r="F82" s="22">
        <f t="shared" si="11"/>
        <v>0</v>
      </c>
      <c r="G82" s="22">
        <f t="shared" si="11"/>
        <v>0</v>
      </c>
      <c r="H82" s="22">
        <f t="shared" si="11"/>
        <v>88000</v>
      </c>
    </row>
    <row r="83" spans="1:8" outlineLevel="2" x14ac:dyDescent="0.25">
      <c r="A83" s="21" t="s">
        <v>90</v>
      </c>
      <c r="B83" s="22">
        <f>IFERROR(((B33/B34)+(B35/B36))*B71,0)</f>
        <v>11068.004947498619</v>
      </c>
      <c r="C83" s="22">
        <f>IFERROR(((C33/C34)+(C35/C36))*C71,0)</f>
        <v>7307.9927831607083</v>
      </c>
      <c r="D83" s="22">
        <f>IFERROR(((D33/D34)+(D35/D36))*D71,0)</f>
        <v>6014.7891503588107</v>
      </c>
      <c r="E83" s="22">
        <f>IFERROR(((E33/E34)+(E35/E36))*E71,0)</f>
        <v>15992.586206896551</v>
      </c>
      <c r="F83" s="22" t="str">
        <f>IFERROR(((F33/F34)+(F35/F36))*F71,"")</f>
        <v/>
      </c>
      <c r="G83" s="22" t="str">
        <f>IFERROR(((G33/G34)+(G35/G36))*G71,"")</f>
        <v/>
      </c>
      <c r="H83" s="22">
        <f>IFERROR(((H33/H34)+(H35/H36))*H71,0)</f>
        <v>3487.0318321458922</v>
      </c>
    </row>
    <row r="84" spans="1:8" outlineLevel="2" x14ac:dyDescent="0.25">
      <c r="A84" s="21" t="s">
        <v>168</v>
      </c>
      <c r="B84" s="22">
        <f t="shared" ref="B84:H84" si="12">(IFERROR(B37/B38,0)+IFERROR(B39/B40,0)+B45)*B71 + ((B41*B42)+IFERROR(B43/B44,0))*B73</f>
        <v>30596.988803724413</v>
      </c>
      <c r="C84" s="22">
        <f>(IFERROR(C37/C38,0)+IFERROR(C39/C40,0)+C45)*C71 + ((C41*C42)+IFERROR(C43/C44,0))*C73</f>
        <v>40767.728335813867</v>
      </c>
      <c r="D84" s="22">
        <f>(IFERROR(D37/D38,0)+IFERROR(D39/D40,0)+D45)*D71 + ((D41*D42)+IFERROR(D43/D44,0))*D73</f>
        <v>21788.81579512807</v>
      </c>
      <c r="E84" s="22">
        <f>(IFERROR(E37/E38,0)+IFERROR(E39/E40,0)+E45)*E71 + ((E41*E42)+IFERROR(E43/E44,0))*E73</f>
        <v>598362.06896551722</v>
      </c>
      <c r="F84" s="22">
        <f t="shared" si="12"/>
        <v>0</v>
      </c>
      <c r="G84" s="22">
        <f t="shared" si="12"/>
        <v>0</v>
      </c>
      <c r="H84" s="22">
        <f t="shared" si="12"/>
        <v>40109.284067568486</v>
      </c>
    </row>
    <row r="85" spans="1:8" outlineLevel="1" x14ac:dyDescent="0.25">
      <c r="A85" s="31" t="s">
        <v>97</v>
      </c>
      <c r="B85" s="30">
        <f t="shared" ref="B85:H85" si="13">SUM(B80:B84)</f>
        <v>427067.4107210291</v>
      </c>
      <c r="C85" s="30">
        <f>SUM(C80:C84)</f>
        <v>447419.83794142696</v>
      </c>
      <c r="D85" s="30">
        <f>SUM(D80:D84)</f>
        <v>250064.81302790198</v>
      </c>
      <c r="E85" s="30">
        <f>SUM(E80:E84)</f>
        <v>876859.7821862069</v>
      </c>
      <c r="F85" s="30">
        <f t="shared" si="13"/>
        <v>0</v>
      </c>
      <c r="G85" s="30">
        <f t="shared" si="13"/>
        <v>0</v>
      </c>
      <c r="H85" s="30">
        <f t="shared" si="13"/>
        <v>415823.4436502863</v>
      </c>
    </row>
    <row r="86" spans="1:8" outlineLevel="2" x14ac:dyDescent="0.25">
      <c r="A86" s="21" t="s">
        <v>335</v>
      </c>
      <c r="B86" s="22">
        <f t="shared" ref="B86:H86" si="14">B11*B12*B50*B51</f>
        <v>256970.46472121149</v>
      </c>
      <c r="C86" s="22">
        <f t="shared" si="14"/>
        <v>256970.46472121149</v>
      </c>
      <c r="D86" s="22">
        <f t="shared" si="14"/>
        <v>256970.46472121149</v>
      </c>
      <c r="E86" s="22">
        <f t="shared" si="14"/>
        <v>454640.05296829727</v>
      </c>
      <c r="F86" s="22">
        <f t="shared" si="14"/>
        <v>0</v>
      </c>
      <c r="G86" s="22">
        <f t="shared" si="14"/>
        <v>0</v>
      </c>
      <c r="H86" s="22">
        <f t="shared" si="14"/>
        <v>256970.46472121149</v>
      </c>
    </row>
    <row r="87" spans="1:8" outlineLevel="2" x14ac:dyDescent="0.25">
      <c r="A87" s="21" t="s">
        <v>360</v>
      </c>
      <c r="B87" s="22">
        <f>B53*B11*B12*Forutsetninger!$D$21</f>
        <v>20800</v>
      </c>
      <c r="C87" s="22">
        <f>C53*C11*C12*Forutsetninger!$D$21</f>
        <v>0</v>
      </c>
      <c r="D87" s="22">
        <f>D53*D11*D12*Forutsetninger!$D$21</f>
        <v>0</v>
      </c>
      <c r="E87" s="22">
        <f>E53*E11*E12*Forutsetninger!$D$21</f>
        <v>0</v>
      </c>
      <c r="F87" s="22">
        <f>F53*F11*F12*Forutsetninger!$D$21</f>
        <v>0</v>
      </c>
      <c r="G87" s="22">
        <f>G53*G11*G12*Forutsetninger!$D$21</f>
        <v>0</v>
      </c>
      <c r="H87" s="22">
        <f>H53*H11*H12*Forutsetninger!$D$21</f>
        <v>0</v>
      </c>
    </row>
    <row r="88" spans="1:8" outlineLevel="2" x14ac:dyDescent="0.25">
      <c r="A88" s="21" t="s">
        <v>38</v>
      </c>
      <c r="B88" s="22">
        <f t="shared" ref="B88:H88" si="15">B52*B11*B12+B54</f>
        <v>16000</v>
      </c>
      <c r="C88" s="22">
        <f t="shared" si="15"/>
        <v>16000</v>
      </c>
      <c r="D88" s="22">
        <f t="shared" si="15"/>
        <v>16000</v>
      </c>
      <c r="E88" s="22">
        <f t="shared" si="15"/>
        <v>26000</v>
      </c>
      <c r="F88" s="22">
        <f t="shared" si="15"/>
        <v>0</v>
      </c>
      <c r="G88" s="22">
        <f t="shared" si="15"/>
        <v>0</v>
      </c>
      <c r="H88" s="22">
        <f t="shared" si="15"/>
        <v>16000</v>
      </c>
    </row>
    <row r="89" spans="1:8" outlineLevel="2" x14ac:dyDescent="0.25">
      <c r="A89" s="21" t="s">
        <v>92</v>
      </c>
      <c r="B89" s="22">
        <f t="shared" ref="B89:H89" si="16">B55*B67</f>
        <v>31200</v>
      </c>
      <c r="C89" s="22">
        <f>C55*C67</f>
        <v>31200</v>
      </c>
      <c r="D89" s="22">
        <f>D55*D67</f>
        <v>31200</v>
      </c>
      <c r="E89" s="22">
        <f>E55*E67</f>
        <v>55200</v>
      </c>
      <c r="F89" s="22">
        <f t="shared" si="16"/>
        <v>0</v>
      </c>
      <c r="G89" s="22">
        <f t="shared" si="16"/>
        <v>0</v>
      </c>
      <c r="H89" s="22">
        <f t="shared" si="16"/>
        <v>31200</v>
      </c>
    </row>
    <row r="90" spans="1:8" outlineLevel="1" x14ac:dyDescent="0.25">
      <c r="A90" s="31" t="s">
        <v>99</v>
      </c>
      <c r="B90" s="30">
        <f t="shared" ref="B90:H90" si="17">SUM(B86:B89)</f>
        <v>324970.46472121147</v>
      </c>
      <c r="C90" s="30">
        <f t="shared" si="17"/>
        <v>304170.46472121147</v>
      </c>
      <c r="D90" s="30">
        <f t="shared" si="17"/>
        <v>304170.46472121147</v>
      </c>
      <c r="E90" s="30">
        <f t="shared" si="17"/>
        <v>535840.05296829727</v>
      </c>
      <c r="F90" s="30">
        <f t="shared" si="17"/>
        <v>0</v>
      </c>
      <c r="G90" s="30">
        <f t="shared" si="17"/>
        <v>0</v>
      </c>
      <c r="H90" s="30">
        <f t="shared" si="17"/>
        <v>304170.46472121147</v>
      </c>
    </row>
    <row r="91" spans="1:8" outlineLevel="1" x14ac:dyDescent="0.25">
      <c r="A91" s="31" t="s">
        <v>112</v>
      </c>
      <c r="B91" s="30">
        <f t="shared" ref="B91:H91" si="18">B46*B70</f>
        <v>125510.67133345614</v>
      </c>
      <c r="C91" s="30">
        <f t="shared" si="18"/>
        <v>42218.509856331439</v>
      </c>
      <c r="D91" s="30">
        <f t="shared" si="18"/>
        <v>22192.933633145582</v>
      </c>
      <c r="E91" s="30">
        <f t="shared" si="18"/>
        <v>37241.379310344826</v>
      </c>
      <c r="F91" s="30">
        <f t="shared" si="18"/>
        <v>0</v>
      </c>
      <c r="G91" s="30">
        <f t="shared" si="18"/>
        <v>0</v>
      </c>
      <c r="H91" s="30">
        <f t="shared" si="18"/>
        <v>41296.816785410811</v>
      </c>
    </row>
    <row r="92" spans="1:8" outlineLevel="1" x14ac:dyDescent="0.25">
      <c r="A92" s="31" t="s">
        <v>109</v>
      </c>
      <c r="B92" s="30">
        <f>(B90+B85+B79)*Forutsetninger!$D24</f>
        <v>134503.78754422406</v>
      </c>
      <c r="C92" s="30">
        <f>(C90+C85+C79)*Forutsetninger!$D24</f>
        <v>109639.03026626386</v>
      </c>
      <c r="D92" s="30">
        <f>(D90+D85+D79)*Forutsetninger!$D24</f>
        <v>79023.527774911359</v>
      </c>
      <c r="E92" s="30">
        <f>(E90+E85+E79)*Forutsetninger!$D24</f>
        <v>182488.73351545041</v>
      </c>
      <c r="F92" s="30">
        <f>(F90+F85+F79)*Forutsetninger!$D24</f>
        <v>0</v>
      </c>
      <c r="G92" s="30">
        <f>(G90+G85+G79)*Forutsetninger!$D24</f>
        <v>0</v>
      </c>
      <c r="H92" s="30">
        <f>(H90+H85+H79)*Forutsetninger!$D24</f>
        <v>89299.390837149782</v>
      </c>
    </row>
    <row r="93" spans="1:8" ht="15.75" outlineLevel="1" thickBot="1" x14ac:dyDescent="0.3">
      <c r="A93" s="32" t="s">
        <v>100</v>
      </c>
      <c r="B93" s="33">
        <f t="shared" ref="B93:H93" si="19">B90+B91+B92+B85+B79</f>
        <v>1605052.3343199207</v>
      </c>
      <c r="C93" s="33">
        <f t="shared" si="19"/>
        <v>1248247.8427852336</v>
      </c>
      <c r="D93" s="33">
        <f t="shared" si="19"/>
        <v>891451.73915717041</v>
      </c>
      <c r="E93" s="33">
        <f t="shared" si="19"/>
        <v>2044617.4479802994</v>
      </c>
      <c r="F93" s="33">
        <f t="shared" si="19"/>
        <v>0</v>
      </c>
      <c r="G93" s="33">
        <f t="shared" si="19"/>
        <v>0</v>
      </c>
      <c r="H93" s="33">
        <f t="shared" si="19"/>
        <v>1023590.1159940583</v>
      </c>
    </row>
    <row r="94" spans="1:8" x14ac:dyDescent="0.25">
      <c r="A94" s="26"/>
      <c r="B94" s="22"/>
      <c r="C94" s="22"/>
      <c r="D94" s="22"/>
      <c r="E94" s="22"/>
      <c r="F94" s="22"/>
      <c r="G94" s="22"/>
      <c r="H94" s="22"/>
    </row>
    <row r="95" spans="1:8" ht="21" customHeight="1" thickBot="1" x14ac:dyDescent="0.4">
      <c r="A95" s="20" t="s">
        <v>95</v>
      </c>
      <c r="B95" s="27">
        <f t="shared" ref="B95:H95" si="20">B113</f>
        <v>2175.2596903419312</v>
      </c>
      <c r="C95" s="27">
        <f t="shared" si="20"/>
        <v>1878.8642350983587</v>
      </c>
      <c r="D95" s="27">
        <f t="shared" si="20"/>
        <v>1284.4864349458685</v>
      </c>
      <c r="E95" s="27">
        <f t="shared" si="20"/>
        <v>1566.1359215908265</v>
      </c>
      <c r="F95" s="27">
        <f t="shared" si="20"/>
        <v>0</v>
      </c>
      <c r="G95" s="27">
        <f t="shared" si="20"/>
        <v>0</v>
      </c>
      <c r="H95" s="27">
        <f t="shared" si="20"/>
        <v>1467.709738921639</v>
      </c>
    </row>
    <row r="96" spans="1:8" ht="15.75" outlineLevel="1" thickTop="1" x14ac:dyDescent="0.25">
      <c r="A96" s="28" t="str">
        <f>A76</f>
        <v>Verdifall basmaskin og tilleggsutstyr</v>
      </c>
      <c r="B96" s="22">
        <f t="shared" ref="B96:E113" si="21">IFERROR(B76/B$71,0)</f>
        <v>516.35322057672158</v>
      </c>
      <c r="C96" s="22">
        <f t="shared" si="21"/>
        <v>332.64948011464674</v>
      </c>
      <c r="D96" s="22">
        <f t="shared" si="21"/>
        <v>216.13392714230872</v>
      </c>
      <c r="E96" s="22">
        <f t="shared" si="21"/>
        <v>200.30375066032755</v>
      </c>
      <c r="F96" s="22">
        <f t="shared" ref="F96:F113" si="22">IFERROR(F76/F$71,0)</f>
        <v>0</v>
      </c>
      <c r="G96" s="22">
        <f t="shared" ref="G96:H113" si="23">IFERROR(G76/G$71,0)</f>
        <v>0</v>
      </c>
      <c r="H96" s="22">
        <f t="shared" si="23"/>
        <v>157.72726676301497</v>
      </c>
    </row>
    <row r="97" spans="1:8" outlineLevel="1" x14ac:dyDescent="0.25">
      <c r="A97" s="28" t="str">
        <f>A77</f>
        <v>Rentekostnader basmaskin og tilleggsutstyr</v>
      </c>
      <c r="B97" s="22">
        <f t="shared" si="21"/>
        <v>216.84124748628727</v>
      </c>
      <c r="C97" s="22">
        <f t="shared" si="21"/>
        <v>139.68267762280189</v>
      </c>
      <c r="D97" s="22">
        <f t="shared" si="21"/>
        <v>92.217142247385055</v>
      </c>
      <c r="E97" s="22">
        <f t="shared" si="21"/>
        <v>87.08234284204967</v>
      </c>
      <c r="F97" s="22">
        <f t="shared" si="22"/>
        <v>0</v>
      </c>
      <c r="G97" s="22">
        <f t="shared" si="23"/>
        <v>0</v>
      </c>
      <c r="H97" s="22">
        <f t="shared" si="23"/>
        <v>68.826443678406534</v>
      </c>
    </row>
    <row r="98" spans="1:8" outlineLevel="1" x14ac:dyDescent="0.25">
      <c r="A98" s="28" t="str">
        <f>A78</f>
        <v>Avgifter, lisenser og forsikring</v>
      </c>
      <c r="B98" s="22">
        <f t="shared" si="21"/>
        <v>70.473405433043368</v>
      </c>
      <c r="C98" s="22">
        <f t="shared" si="21"/>
        <v>46.661239292099772</v>
      </c>
      <c r="D98" s="22">
        <f t="shared" si="21"/>
        <v>31.699642647538614</v>
      </c>
      <c r="E98" s="22">
        <f t="shared" si="21"/>
        <v>28.341257263602749</v>
      </c>
      <c r="F98" s="22">
        <f t="shared" si="22"/>
        <v>0</v>
      </c>
      <c r="G98" s="22">
        <f t="shared" si="23"/>
        <v>0</v>
      </c>
      <c r="H98" s="22">
        <f t="shared" si="23"/>
        <v>21.508263649502041</v>
      </c>
    </row>
    <row r="99" spans="1:8" ht="14.25" customHeight="1" outlineLevel="1" collapsed="1" x14ac:dyDescent="0.25">
      <c r="A99" s="29" t="str">
        <f>A79</f>
        <v>Σ kapitalkostnader</v>
      </c>
      <c r="B99" s="30">
        <f t="shared" si="21"/>
        <v>803.66787349605215</v>
      </c>
      <c r="C99" s="30">
        <f t="shared" si="21"/>
        <v>518.99339702954842</v>
      </c>
      <c r="D99" s="30">
        <f t="shared" si="21"/>
        <v>340.05071203723242</v>
      </c>
      <c r="E99" s="30">
        <f t="shared" si="21"/>
        <v>315.72735076597996</v>
      </c>
      <c r="F99" s="30">
        <f t="shared" si="22"/>
        <v>0</v>
      </c>
      <c r="G99" s="30">
        <f t="shared" si="23"/>
        <v>0</v>
      </c>
      <c r="H99" s="30">
        <f t="shared" si="23"/>
        <v>248.06197409092354</v>
      </c>
    </row>
    <row r="100" spans="1:8" outlineLevel="2" x14ac:dyDescent="0.25">
      <c r="A100" s="28" t="str">
        <f t="shared" ref="A100:A112" si="24">A80</f>
        <v>Drivstoff</v>
      </c>
      <c r="B100" s="22">
        <f t="shared" si="21"/>
        <v>307.62103917422519</v>
      </c>
      <c r="C100" s="22">
        <f t="shared" si="21"/>
        <v>420.52500000000003</v>
      </c>
      <c r="D100" s="22">
        <f t="shared" si="21"/>
        <v>204.255</v>
      </c>
      <c r="E100" s="22">
        <f t="shared" si="21"/>
        <v>109.3365</v>
      </c>
      <c r="F100" s="22">
        <f t="shared" si="22"/>
        <v>0</v>
      </c>
      <c r="G100" s="22">
        <f t="shared" si="23"/>
        <v>0</v>
      </c>
      <c r="H100" s="22">
        <f t="shared" si="23"/>
        <v>384.47999999999996</v>
      </c>
    </row>
    <row r="101" spans="1:8" outlineLevel="2" x14ac:dyDescent="0.25">
      <c r="A101" s="28" t="str">
        <f t="shared" si="24"/>
        <v>Olje og smøremidler</v>
      </c>
      <c r="B101" s="22">
        <f t="shared" si="21"/>
        <v>18.457262350453512</v>
      </c>
      <c r="C101" s="22">
        <f t="shared" si="21"/>
        <v>25.2315</v>
      </c>
      <c r="D101" s="22">
        <f t="shared" si="21"/>
        <v>12.255299999999998</v>
      </c>
      <c r="E101" s="22">
        <f t="shared" si="21"/>
        <v>6.5601899999999995</v>
      </c>
      <c r="F101" s="22">
        <f t="shared" si="22"/>
        <v>0</v>
      </c>
      <c r="G101" s="22">
        <f t="shared" si="23"/>
        <v>0</v>
      </c>
      <c r="H101" s="22">
        <f t="shared" si="23"/>
        <v>23.068799999999996</v>
      </c>
    </row>
    <row r="102" spans="1:8" outlineLevel="2" x14ac:dyDescent="0.25">
      <c r="A102" s="28" t="str">
        <f t="shared" si="24"/>
        <v>Rep og vedlikehold (verksted)</v>
      </c>
      <c r="B102" s="22">
        <f t="shared" si="21"/>
        <v>196.24132897508997</v>
      </c>
      <c r="C102" s="22">
        <f t="shared" si="21"/>
        <v>155.33677080466762</v>
      </c>
      <c r="D102" s="22">
        <f t="shared" si="21"/>
        <v>103.74428502830818</v>
      </c>
      <c r="E102" s="22">
        <f t="shared" si="21"/>
        <v>85.176967776016909</v>
      </c>
      <c r="F102" s="22">
        <f t="shared" si="22"/>
        <v>0</v>
      </c>
      <c r="G102" s="22">
        <f t="shared" si="23"/>
        <v>0</v>
      </c>
      <c r="H102" s="22">
        <f t="shared" si="23"/>
        <v>126.18181341041198</v>
      </c>
    </row>
    <row r="103" spans="1:8" outlineLevel="2" x14ac:dyDescent="0.25">
      <c r="A103" s="28" t="str">
        <f t="shared" si="24"/>
        <v>Dekk, belter og kjettinger</v>
      </c>
      <c r="B103" s="22">
        <f t="shared" si="21"/>
        <v>15</v>
      </c>
      <c r="C103" s="22">
        <f t="shared" si="21"/>
        <v>11</v>
      </c>
      <c r="D103" s="22">
        <f t="shared" si="21"/>
        <v>8.6666666666666679</v>
      </c>
      <c r="E103" s="22">
        <f t="shared" si="21"/>
        <v>12.25</v>
      </c>
      <c r="F103" s="22">
        <f t="shared" si="22"/>
        <v>0</v>
      </c>
      <c r="G103" s="22">
        <f t="shared" si="23"/>
        <v>0</v>
      </c>
      <c r="H103" s="22">
        <f t="shared" si="23"/>
        <v>5</v>
      </c>
    </row>
    <row r="104" spans="1:8" outlineLevel="2" x14ac:dyDescent="0.25">
      <c r="A104" s="28" t="str">
        <f t="shared" si="24"/>
        <v>Kjeder, sverd, nylon, knivstål</v>
      </c>
      <c r="B104" s="22">
        <f t="shared" si="21"/>
        <v>41.46680763452229</v>
      </c>
      <c r="C104" s="22">
        <f t="shared" si="21"/>
        <v>61.36363636363636</v>
      </c>
      <c r="D104" s="22">
        <f t="shared" si="21"/>
        <v>31.395348837209305</v>
      </c>
      <c r="E104" s="22">
        <f t="shared" si="21"/>
        <v>458.33333333333337</v>
      </c>
      <c r="F104" s="22">
        <f t="shared" si="22"/>
        <v>0</v>
      </c>
      <c r="G104" s="22">
        <f t="shared" si="23"/>
        <v>0</v>
      </c>
      <c r="H104" s="22">
        <f t="shared" si="23"/>
        <v>57.512070434535644</v>
      </c>
    </row>
    <row r="105" spans="1:8" ht="14.25" customHeight="1" outlineLevel="1" x14ac:dyDescent="0.25">
      <c r="A105" s="119" t="str">
        <f t="shared" si="24"/>
        <v>Σ variable maskinkostnader</v>
      </c>
      <c r="B105" s="30">
        <f t="shared" si="21"/>
        <v>578.78643813429107</v>
      </c>
      <c r="C105" s="30">
        <f t="shared" si="21"/>
        <v>673.45690716830404</v>
      </c>
      <c r="D105" s="30">
        <f t="shared" si="21"/>
        <v>360.31660053218411</v>
      </c>
      <c r="E105" s="30">
        <f t="shared" si="21"/>
        <v>671.65699110935032</v>
      </c>
      <c r="F105" s="30">
        <f t="shared" si="22"/>
        <v>0</v>
      </c>
      <c r="G105" s="30">
        <f t="shared" si="23"/>
        <v>0</v>
      </c>
      <c r="H105" s="30">
        <f t="shared" si="23"/>
        <v>596.24268384494758</v>
      </c>
    </row>
    <row r="106" spans="1:8" outlineLevel="2" x14ac:dyDescent="0.25">
      <c r="A106" s="28" t="str">
        <f t="shared" si="24"/>
        <v>Lønnskostnader</v>
      </c>
      <c r="B106" s="22">
        <f t="shared" si="21"/>
        <v>348.26122585799044</v>
      </c>
      <c r="C106" s="22">
        <f t="shared" si="21"/>
        <v>386.79226920511394</v>
      </c>
      <c r="D106" s="22">
        <f t="shared" si="21"/>
        <v>370.26690466519693</v>
      </c>
      <c r="E106" s="22">
        <f t="shared" si="21"/>
        <v>348.24515414898633</v>
      </c>
      <c r="F106" s="22">
        <f t="shared" si="22"/>
        <v>0</v>
      </c>
      <c r="G106" s="22">
        <f t="shared" si="23"/>
        <v>0</v>
      </c>
      <c r="H106" s="22">
        <f t="shared" si="23"/>
        <v>368.4659003572587</v>
      </c>
    </row>
    <row r="107" spans="1:8" outlineLevel="2" x14ac:dyDescent="0.25">
      <c r="A107" s="28" t="str">
        <f t="shared" si="24"/>
        <v>Persontransport</v>
      </c>
      <c r="B107" s="22">
        <f t="shared" si="21"/>
        <v>28.189362173217344</v>
      </c>
      <c r="C107" s="22">
        <f t="shared" si="21"/>
        <v>0</v>
      </c>
      <c r="D107" s="22">
        <f t="shared" si="21"/>
        <v>0</v>
      </c>
      <c r="E107" s="22">
        <f t="shared" si="21"/>
        <v>0</v>
      </c>
      <c r="F107" s="22">
        <f t="shared" si="22"/>
        <v>0</v>
      </c>
      <c r="G107" s="22">
        <f t="shared" si="23"/>
        <v>0</v>
      </c>
      <c r="H107" s="22">
        <f t="shared" si="23"/>
        <v>0</v>
      </c>
    </row>
    <row r="108" spans="1:8" outlineLevel="2" x14ac:dyDescent="0.25">
      <c r="A108" s="28" t="str">
        <f t="shared" si="24"/>
        <v>Øvrige personalkostnader</v>
      </c>
      <c r="B108" s="22">
        <f t="shared" si="21"/>
        <v>21.684124748628726</v>
      </c>
      <c r="C108" s="22">
        <f t="shared" si="21"/>
        <v>24.08322027979343</v>
      </c>
      <c r="D108" s="22">
        <f t="shared" si="21"/>
        <v>23.054285561846264</v>
      </c>
      <c r="E108" s="22">
        <f t="shared" si="21"/>
        <v>19.915478077126256</v>
      </c>
      <c r="F108" s="22">
        <f t="shared" si="22"/>
        <v>0</v>
      </c>
      <c r="G108" s="22">
        <f t="shared" si="23"/>
        <v>0</v>
      </c>
      <c r="H108" s="22">
        <f t="shared" si="23"/>
        <v>22.942147892802179</v>
      </c>
    </row>
    <row r="109" spans="1:8" outlineLevel="2" x14ac:dyDescent="0.25">
      <c r="A109" s="28" t="str">
        <f t="shared" si="24"/>
        <v>Administrasjon</v>
      </c>
      <c r="B109" s="22">
        <f t="shared" si="21"/>
        <v>42.284043259826021</v>
      </c>
      <c r="C109" s="22">
        <f t="shared" si="21"/>
        <v>46.962279545597191</v>
      </c>
      <c r="D109" s="22">
        <f t="shared" si="21"/>
        <v>44.955856845600216</v>
      </c>
      <c r="E109" s="22">
        <f t="shared" si="21"/>
        <v>42.282091917591131</v>
      </c>
      <c r="F109" s="22">
        <f t="shared" si="22"/>
        <v>0</v>
      </c>
      <c r="G109" s="22">
        <f t="shared" si="23"/>
        <v>0</v>
      </c>
      <c r="H109" s="22">
        <f t="shared" si="23"/>
        <v>44.737188390964249</v>
      </c>
    </row>
    <row r="110" spans="1:8" outlineLevel="1" x14ac:dyDescent="0.25">
      <c r="A110" s="119" t="str">
        <f>A90</f>
        <v>Σ personalkostnader</v>
      </c>
      <c r="B110" s="30">
        <f t="shared" si="21"/>
        <v>440.41875603966253</v>
      </c>
      <c r="C110" s="30">
        <f t="shared" si="21"/>
        <v>457.83776903050449</v>
      </c>
      <c r="D110" s="30">
        <f t="shared" si="21"/>
        <v>438.27704707264337</v>
      </c>
      <c r="E110" s="30">
        <f t="shared" si="21"/>
        <v>410.44272414370369</v>
      </c>
      <c r="F110" s="30">
        <f t="shared" si="22"/>
        <v>0</v>
      </c>
      <c r="G110" s="30">
        <f t="shared" si="23"/>
        <v>0</v>
      </c>
      <c r="H110" s="30">
        <f t="shared" si="23"/>
        <v>436.14523664102506</v>
      </c>
    </row>
    <row r="111" spans="1:8" outlineLevel="1" x14ac:dyDescent="0.25">
      <c r="A111" s="28" t="str">
        <f t="shared" si="24"/>
        <v>Flyttekostnader</v>
      </c>
      <c r="B111" s="30">
        <f t="shared" si="21"/>
        <v>170.09931590492513</v>
      </c>
      <c r="C111" s="30">
        <f t="shared" si="21"/>
        <v>63.547354547166258</v>
      </c>
      <c r="D111" s="30">
        <f t="shared" si="21"/>
        <v>31.977639339602533</v>
      </c>
      <c r="E111" s="30">
        <f t="shared" si="21"/>
        <v>28.526148969889068</v>
      </c>
      <c r="F111" s="30">
        <f t="shared" si="22"/>
        <v>0</v>
      </c>
      <c r="G111" s="30">
        <f t="shared" si="23"/>
        <v>0</v>
      </c>
      <c r="H111" s="30">
        <f t="shared" si="23"/>
        <v>59.214854887053143</v>
      </c>
    </row>
    <row r="112" spans="1:8" outlineLevel="1" x14ac:dyDescent="0.25">
      <c r="A112" s="28" t="str">
        <f t="shared" si="24"/>
        <v>Driftsmargin</v>
      </c>
      <c r="B112" s="30">
        <f t="shared" si="21"/>
        <v>182.28730676700059</v>
      </c>
      <c r="C112" s="30">
        <f t="shared" si="21"/>
        <v>165.02880732283572</v>
      </c>
      <c r="D112" s="30">
        <f t="shared" si="21"/>
        <v>113.86443596420601</v>
      </c>
      <c r="E112" s="30">
        <f t="shared" si="21"/>
        <v>139.78270660190339</v>
      </c>
      <c r="F112" s="30">
        <f t="shared" si="22"/>
        <v>0</v>
      </c>
      <c r="G112" s="30">
        <f t="shared" si="23"/>
        <v>0</v>
      </c>
      <c r="H112" s="30">
        <f t="shared" si="23"/>
        <v>128.04498945768964</v>
      </c>
    </row>
    <row r="113" spans="1:8" ht="15.75" outlineLevel="1" thickBot="1" x14ac:dyDescent="0.3">
      <c r="A113" s="32" t="s">
        <v>101</v>
      </c>
      <c r="B113" s="33">
        <f t="shared" si="21"/>
        <v>2175.2596903419312</v>
      </c>
      <c r="C113" s="33">
        <f t="shared" si="21"/>
        <v>1878.8642350983587</v>
      </c>
      <c r="D113" s="33">
        <f t="shared" si="21"/>
        <v>1284.4864349458685</v>
      </c>
      <c r="E113" s="33">
        <f t="shared" si="21"/>
        <v>1566.1359215908265</v>
      </c>
      <c r="F113" s="33">
        <f t="shared" si="22"/>
        <v>0</v>
      </c>
      <c r="G113" s="33">
        <f t="shared" si="23"/>
        <v>0</v>
      </c>
      <c r="H113" s="33">
        <f t="shared" si="23"/>
        <v>1467.709738921639</v>
      </c>
    </row>
    <row r="114" spans="1:8" ht="15.75" x14ac:dyDescent="0.25">
      <c r="A114" s="35"/>
      <c r="B114" s="22"/>
      <c r="C114" s="22"/>
      <c r="D114" s="22"/>
      <c r="E114" s="22"/>
      <c r="F114" s="22"/>
      <c r="G114" s="22"/>
      <c r="H114" s="22"/>
    </row>
    <row r="115" spans="1:8" ht="19.5" thickBot="1" x14ac:dyDescent="0.35">
      <c r="A115" s="20" t="s">
        <v>102</v>
      </c>
      <c r="B115" s="27">
        <f t="shared" ref="B115:H115" si="25">B133</f>
        <v>131.14463196167085</v>
      </c>
      <c r="C115" s="27">
        <f t="shared" si="25"/>
        <v>76.546320689192399</v>
      </c>
      <c r="D115" s="27">
        <f t="shared" si="25"/>
        <v>102.28317907902284</v>
      </c>
      <c r="E115" s="27">
        <f t="shared" si="25"/>
        <v>139.21208191918456</v>
      </c>
      <c r="F115" s="27">
        <f t="shared" si="25"/>
        <v>0</v>
      </c>
      <c r="G115" s="27">
        <f t="shared" si="25"/>
        <v>0</v>
      </c>
      <c r="H115" s="27">
        <f t="shared" si="25"/>
        <v>63.800073959791241</v>
      </c>
    </row>
    <row r="116" spans="1:8" ht="15.75" outlineLevel="2" thickTop="1" x14ac:dyDescent="0.25">
      <c r="A116" s="28" t="s">
        <v>77</v>
      </c>
      <c r="B116" s="22">
        <f t="shared" ref="B116:H125" si="26">IF(B$73&gt;0,B76/B$73,0)</f>
        <v>31.130514381992295</v>
      </c>
      <c r="C116" s="22">
        <f t="shared" si="26"/>
        <v>13.552386226893018</v>
      </c>
      <c r="D116" s="22">
        <f t="shared" si="26"/>
        <v>17.210664568739396</v>
      </c>
      <c r="E116" s="22">
        <f t="shared" si="26"/>
        <v>17.804777836473558</v>
      </c>
      <c r="F116" s="22">
        <f t="shared" si="26"/>
        <v>0</v>
      </c>
      <c r="G116" s="22">
        <f t="shared" si="26"/>
        <v>0</v>
      </c>
      <c r="H116" s="22">
        <f t="shared" si="26"/>
        <v>6.8562679786737748</v>
      </c>
    </row>
    <row r="117" spans="1:8" outlineLevel="2" x14ac:dyDescent="0.25">
      <c r="A117" s="28" t="s">
        <v>76</v>
      </c>
      <c r="B117" s="22">
        <f t="shared" si="26"/>
        <v>13.073181892700177</v>
      </c>
      <c r="C117" s="22">
        <f t="shared" si="26"/>
        <v>5.6907757550030409</v>
      </c>
      <c r="D117" s="22">
        <f t="shared" si="26"/>
        <v>7.3432168826621425</v>
      </c>
      <c r="E117" s="22">
        <f t="shared" si="26"/>
        <v>7.7406526970710807</v>
      </c>
      <c r="F117" s="22">
        <f t="shared" si="26"/>
        <v>0</v>
      </c>
      <c r="G117" s="22">
        <f t="shared" si="26"/>
        <v>0</v>
      </c>
      <c r="H117" s="22">
        <f t="shared" si="26"/>
        <v>2.9918260270576473</v>
      </c>
    </row>
    <row r="118" spans="1:8" outlineLevel="2" x14ac:dyDescent="0.25">
      <c r="A118" s="21" t="s">
        <v>96</v>
      </c>
      <c r="B118" s="22">
        <f t="shared" si="26"/>
        <v>4.2487841151275569</v>
      </c>
      <c r="C118" s="22">
        <f t="shared" si="26"/>
        <v>1.901013452641102</v>
      </c>
      <c r="D118" s="22">
        <f t="shared" si="26"/>
        <v>2.5242308034151115</v>
      </c>
      <c r="E118" s="22">
        <f t="shared" si="26"/>
        <v>2.5192228678757997</v>
      </c>
      <c r="F118" s="22">
        <f t="shared" si="26"/>
        <v>0</v>
      </c>
      <c r="G118" s="22">
        <f t="shared" si="26"/>
        <v>0</v>
      </c>
      <c r="H118" s="22">
        <f t="shared" si="26"/>
        <v>0.93494563345551474</v>
      </c>
    </row>
    <row r="119" spans="1:8" outlineLevel="1" x14ac:dyDescent="0.25">
      <c r="A119" s="29" t="s">
        <v>98</v>
      </c>
      <c r="B119" s="30">
        <f t="shared" si="26"/>
        <v>48.452480389820025</v>
      </c>
      <c r="C119" s="30">
        <f t="shared" si="26"/>
        <v>21.144175434537161</v>
      </c>
      <c r="D119" s="30">
        <f t="shared" si="26"/>
        <v>27.078112254816649</v>
      </c>
      <c r="E119" s="30">
        <f t="shared" si="26"/>
        <v>28.06465340142044</v>
      </c>
      <c r="F119" s="30">
        <f t="shared" si="26"/>
        <v>0</v>
      </c>
      <c r="G119" s="30">
        <f t="shared" si="26"/>
        <v>0</v>
      </c>
      <c r="H119" s="30">
        <f t="shared" si="26"/>
        <v>10.783039639186937</v>
      </c>
    </row>
    <row r="120" spans="1:8" outlineLevel="2" x14ac:dyDescent="0.25">
      <c r="A120" s="21" t="s">
        <v>87</v>
      </c>
      <c r="B120" s="22">
        <f t="shared" si="26"/>
        <v>18.546221467391309</v>
      </c>
      <c r="C120" s="22">
        <f t="shared" si="26"/>
        <v>17.132500000000004</v>
      </c>
      <c r="D120" s="22">
        <f t="shared" si="26"/>
        <v>16.264749999999999</v>
      </c>
      <c r="E120" s="22">
        <f t="shared" si="26"/>
        <v>9.7187999999999999</v>
      </c>
      <c r="F120" s="22">
        <f t="shared" si="26"/>
        <v>0</v>
      </c>
      <c r="G120" s="22">
        <f t="shared" si="26"/>
        <v>0</v>
      </c>
      <c r="H120" s="22">
        <f t="shared" si="26"/>
        <v>16.713013333333333</v>
      </c>
    </row>
    <row r="121" spans="1:8" outlineLevel="2" x14ac:dyDescent="0.25">
      <c r="A121" s="28" t="s">
        <v>88</v>
      </c>
      <c r="B121" s="22">
        <f t="shared" si="26"/>
        <v>1.1127732880434784</v>
      </c>
      <c r="C121" s="22">
        <f t="shared" si="26"/>
        <v>1.0279500000000001</v>
      </c>
      <c r="D121" s="22">
        <f t="shared" si="26"/>
        <v>0.97588499999999978</v>
      </c>
      <c r="E121" s="22">
        <f t="shared" si="26"/>
        <v>0.58312799999999998</v>
      </c>
      <c r="F121" s="22">
        <f t="shared" si="26"/>
        <v>0</v>
      </c>
      <c r="G121" s="22">
        <f t="shared" si="26"/>
        <v>0</v>
      </c>
      <c r="H121" s="22">
        <f t="shared" si="26"/>
        <v>1.0027807999999998</v>
      </c>
    </row>
    <row r="122" spans="1:8" outlineLevel="2" x14ac:dyDescent="0.25">
      <c r="A122" s="28" t="s">
        <v>89</v>
      </c>
      <c r="B122" s="22">
        <f t="shared" si="26"/>
        <v>11.83122961289366</v>
      </c>
      <c r="C122" s="22">
        <f t="shared" si="26"/>
        <v>6.3285351068568296</v>
      </c>
      <c r="D122" s="22">
        <f t="shared" si="26"/>
        <v>8.2611189929949109</v>
      </c>
      <c r="E122" s="22">
        <f t="shared" si="26"/>
        <v>7.5712860245348361</v>
      </c>
      <c r="F122" s="22">
        <f t="shared" si="26"/>
        <v>0</v>
      </c>
      <c r="G122" s="22">
        <f t="shared" si="26"/>
        <v>0</v>
      </c>
      <c r="H122" s="22">
        <f t="shared" si="26"/>
        <v>5.4850143829390197</v>
      </c>
    </row>
    <row r="123" spans="1:8" outlineLevel="2" x14ac:dyDescent="0.25">
      <c r="A123" s="21" t="s">
        <v>90</v>
      </c>
      <c r="B123" s="22">
        <f t="shared" si="26"/>
        <v>0.90433776167471813</v>
      </c>
      <c r="C123" s="22">
        <f t="shared" si="26"/>
        <v>0.44814814814814818</v>
      </c>
      <c r="D123" s="22">
        <f t="shared" si="26"/>
        <v>0.69012345679012344</v>
      </c>
      <c r="E123" s="22">
        <f t="shared" si="26"/>
        <v>1.0888888888888888</v>
      </c>
      <c r="F123" s="22">
        <f t="shared" si="26"/>
        <v>0</v>
      </c>
      <c r="G123" s="22">
        <f t="shared" si="26"/>
        <v>0</v>
      </c>
      <c r="H123" s="22">
        <f t="shared" si="26"/>
        <v>0.21734567901234569</v>
      </c>
    </row>
    <row r="124" spans="1:8" outlineLevel="2" x14ac:dyDescent="0.25">
      <c r="A124" s="21" t="s">
        <v>168</v>
      </c>
      <c r="B124" s="22">
        <f t="shared" si="26"/>
        <v>2.5</v>
      </c>
      <c r="C124" s="22">
        <f t="shared" si="26"/>
        <v>2.5000000000000004</v>
      </c>
      <c r="D124" s="22">
        <f t="shared" si="26"/>
        <v>2.5</v>
      </c>
      <c r="E124" s="22">
        <f t="shared" si="26"/>
        <v>40.74074074074074</v>
      </c>
      <c r="F124" s="22">
        <f t="shared" si="26"/>
        <v>0</v>
      </c>
      <c r="G124" s="22">
        <f t="shared" si="26"/>
        <v>0</v>
      </c>
      <c r="H124" s="22">
        <f t="shared" si="26"/>
        <v>2.5</v>
      </c>
    </row>
    <row r="125" spans="1:8" outlineLevel="1" x14ac:dyDescent="0.25">
      <c r="A125" s="31" t="s">
        <v>97</v>
      </c>
      <c r="B125" s="30">
        <f t="shared" si="26"/>
        <v>34.894562130003166</v>
      </c>
      <c r="C125" s="30">
        <f t="shared" si="26"/>
        <v>27.43713325500498</v>
      </c>
      <c r="D125" s="30">
        <f t="shared" si="26"/>
        <v>28.691877449785029</v>
      </c>
      <c r="E125" s="30">
        <f t="shared" si="26"/>
        <v>59.702843654164468</v>
      </c>
      <c r="F125" s="30">
        <f t="shared" si="26"/>
        <v>0</v>
      </c>
      <c r="G125" s="30">
        <f t="shared" si="26"/>
        <v>0</v>
      </c>
      <c r="H125" s="30">
        <f t="shared" si="26"/>
        <v>25.918154195284696</v>
      </c>
    </row>
    <row r="126" spans="1:8" outlineLevel="2" x14ac:dyDescent="0.25">
      <c r="A126" s="21" t="s">
        <v>335</v>
      </c>
      <c r="B126" s="22">
        <f t="shared" ref="B126:H133" si="27">IF(B$73&gt;0,B86/B$73,0)</f>
        <v>20.996385164700573</v>
      </c>
      <c r="C126" s="22">
        <f t="shared" si="27"/>
        <v>15.758203560208347</v>
      </c>
      <c r="D126" s="22">
        <f t="shared" si="27"/>
        <v>29.48421648259901</v>
      </c>
      <c r="E126" s="22">
        <f t="shared" si="27"/>
        <v>30.955124813243227</v>
      </c>
      <c r="F126" s="22">
        <f t="shared" si="27"/>
        <v>0</v>
      </c>
      <c r="G126" s="22">
        <f t="shared" si="27"/>
        <v>0</v>
      </c>
      <c r="H126" s="22">
        <f t="shared" si="27"/>
        <v>16.016894261208741</v>
      </c>
    </row>
    <row r="127" spans="1:8" outlineLevel="2" x14ac:dyDescent="0.25">
      <c r="A127" s="21" t="s">
        <v>94</v>
      </c>
      <c r="B127" s="22">
        <f t="shared" si="27"/>
        <v>1.699513646051023</v>
      </c>
      <c r="C127" s="22">
        <f t="shared" si="27"/>
        <v>0</v>
      </c>
      <c r="D127" s="22">
        <f t="shared" si="27"/>
        <v>0</v>
      </c>
      <c r="E127" s="22">
        <f t="shared" si="27"/>
        <v>0</v>
      </c>
      <c r="F127" s="22">
        <f t="shared" si="27"/>
        <v>0</v>
      </c>
      <c r="G127" s="22">
        <f t="shared" si="27"/>
        <v>0</v>
      </c>
      <c r="H127" s="22">
        <f t="shared" si="27"/>
        <v>0</v>
      </c>
    </row>
    <row r="128" spans="1:8" outlineLevel="2" x14ac:dyDescent="0.25">
      <c r="A128" s="21" t="s">
        <v>38</v>
      </c>
      <c r="B128" s="22">
        <f t="shared" si="27"/>
        <v>1.3073181892700176</v>
      </c>
      <c r="C128" s="22">
        <f t="shared" si="27"/>
        <v>0.98116823362121397</v>
      </c>
      <c r="D128" s="22">
        <f t="shared" si="27"/>
        <v>1.8358042206655356</v>
      </c>
      <c r="E128" s="22">
        <f t="shared" si="27"/>
        <v>1.7702647179667783</v>
      </c>
      <c r="F128" s="22">
        <f t="shared" si="27"/>
        <v>0</v>
      </c>
      <c r="G128" s="22">
        <f t="shared" si="27"/>
        <v>0</v>
      </c>
      <c r="H128" s="22">
        <f t="shared" si="27"/>
        <v>0.997275342352549</v>
      </c>
    </row>
    <row r="129" spans="1:9" outlineLevel="2" x14ac:dyDescent="0.25">
      <c r="A129" s="21" t="s">
        <v>92</v>
      </c>
      <c r="B129" s="22">
        <f t="shared" si="27"/>
        <v>2.5492704690765344</v>
      </c>
      <c r="C129" s="22">
        <f t="shared" si="27"/>
        <v>1.9132780555613671</v>
      </c>
      <c r="D129" s="22">
        <f t="shared" si="27"/>
        <v>3.5798182302977946</v>
      </c>
      <c r="E129" s="22">
        <f t="shared" si="27"/>
        <v>3.7584081704525447</v>
      </c>
      <c r="F129" s="22">
        <f t="shared" si="27"/>
        <v>0</v>
      </c>
      <c r="G129" s="22">
        <f t="shared" si="27"/>
        <v>0</v>
      </c>
      <c r="H129" s="22">
        <f t="shared" si="27"/>
        <v>1.9446869175874706</v>
      </c>
    </row>
    <row r="130" spans="1:9" outlineLevel="1" x14ac:dyDescent="0.25">
      <c r="A130" s="31" t="s">
        <v>99</v>
      </c>
      <c r="B130" s="30">
        <f t="shared" si="27"/>
        <v>26.552487469098143</v>
      </c>
      <c r="C130" s="30">
        <f t="shared" si="27"/>
        <v>18.652649849390926</v>
      </c>
      <c r="D130" s="30">
        <f t="shared" si="27"/>
        <v>34.899838933562336</v>
      </c>
      <c r="E130" s="30">
        <f t="shared" si="27"/>
        <v>36.483797701662546</v>
      </c>
      <c r="F130" s="30">
        <f t="shared" si="27"/>
        <v>0</v>
      </c>
      <c r="G130" s="30">
        <f t="shared" si="27"/>
        <v>0</v>
      </c>
      <c r="H130" s="30">
        <f t="shared" si="27"/>
        <v>18.958856521148757</v>
      </c>
    </row>
    <row r="131" spans="1:9" outlineLevel="1" x14ac:dyDescent="0.25">
      <c r="A131" s="31" t="s">
        <v>112</v>
      </c>
      <c r="B131" s="30">
        <f t="shared" si="27"/>
        <v>10.255148973857386</v>
      </c>
      <c r="C131" s="30">
        <f t="shared" si="27"/>
        <v>2.5889662963660331</v>
      </c>
      <c r="D131" s="30">
        <f t="shared" si="27"/>
        <v>2.5463675770424237</v>
      </c>
      <c r="E131" s="30">
        <f t="shared" si="27"/>
        <v>2.5356576862123612</v>
      </c>
      <c r="F131" s="30">
        <f t="shared" si="27"/>
        <v>0</v>
      </c>
      <c r="G131" s="30">
        <f t="shared" si="27"/>
        <v>0</v>
      </c>
      <c r="H131" s="30">
        <f t="shared" si="27"/>
        <v>2.5740185686088162</v>
      </c>
    </row>
    <row r="132" spans="1:9" outlineLevel="1" x14ac:dyDescent="0.25">
      <c r="A132" s="31" t="s">
        <v>109</v>
      </c>
      <c r="B132" s="30">
        <f t="shared" si="27"/>
        <v>10.989952998892134</v>
      </c>
      <c r="C132" s="30">
        <f t="shared" si="27"/>
        <v>6.7233958538933081</v>
      </c>
      <c r="D132" s="30">
        <f t="shared" si="27"/>
        <v>9.0669828638164027</v>
      </c>
      <c r="E132" s="30">
        <f t="shared" si="27"/>
        <v>12.425129475724745</v>
      </c>
      <c r="F132" s="30">
        <f t="shared" si="27"/>
        <v>0</v>
      </c>
      <c r="G132" s="30">
        <f t="shared" si="27"/>
        <v>0</v>
      </c>
      <c r="H132" s="30">
        <f t="shared" si="27"/>
        <v>5.5660050355620392</v>
      </c>
    </row>
    <row r="133" spans="1:9" ht="15.75" outlineLevel="1" thickBot="1" x14ac:dyDescent="0.3">
      <c r="A133" s="32" t="s">
        <v>103</v>
      </c>
      <c r="B133" s="33">
        <f t="shared" si="27"/>
        <v>131.14463196167085</v>
      </c>
      <c r="C133" s="33">
        <f t="shared" si="27"/>
        <v>76.546320689192399</v>
      </c>
      <c r="D133" s="33">
        <f t="shared" si="27"/>
        <v>102.28317907902284</v>
      </c>
      <c r="E133" s="33">
        <f t="shared" si="27"/>
        <v>139.21208191918456</v>
      </c>
      <c r="F133" s="33">
        <f t="shared" si="27"/>
        <v>0</v>
      </c>
      <c r="G133" s="33">
        <f t="shared" si="27"/>
        <v>0</v>
      </c>
      <c r="H133" s="33">
        <f t="shared" si="27"/>
        <v>63.800073959791241</v>
      </c>
      <c r="I133">
        <v>0</v>
      </c>
    </row>
    <row r="135" spans="1:9" ht="18" thickBot="1" x14ac:dyDescent="0.35">
      <c r="A135" s="2" t="s">
        <v>110</v>
      </c>
      <c r="B135" s="2"/>
      <c r="C135" s="2"/>
      <c r="D135" s="2"/>
      <c r="E135" s="2"/>
      <c r="F135" s="2"/>
      <c r="G135" s="2"/>
      <c r="H135" s="2"/>
    </row>
    <row r="136" spans="1:9" ht="18.75" thickTop="1" x14ac:dyDescent="0.35">
      <c r="A136" t="s">
        <v>119</v>
      </c>
      <c r="B136" s="18">
        <f t="shared" ref="B136:H136" si="28">B18*B71</f>
        <v>7378.6699649990796</v>
      </c>
      <c r="C136" s="18">
        <f t="shared" si="28"/>
        <v>6643.6298028733709</v>
      </c>
      <c r="D136" s="18">
        <f t="shared" si="28"/>
        <v>6940.1413273370881</v>
      </c>
      <c r="E136" s="18">
        <f t="shared" si="28"/>
        <v>13055.172413793101</v>
      </c>
      <c r="F136" s="18">
        <f t="shared" si="28"/>
        <v>0</v>
      </c>
      <c r="G136" s="18">
        <f t="shared" si="28"/>
        <v>0</v>
      </c>
      <c r="H136" s="18">
        <f t="shared" si="28"/>
        <v>6974.0636642917843</v>
      </c>
    </row>
    <row r="137" spans="1:9" ht="18" x14ac:dyDescent="0.35">
      <c r="A137" t="s">
        <v>170</v>
      </c>
      <c r="B137" s="18">
        <f t="shared" ref="B137:H137" si="29">B19*B71</f>
        <v>7378.6699649990796</v>
      </c>
      <c r="C137" s="18">
        <f t="shared" si="29"/>
        <v>6643.6298028733709</v>
      </c>
      <c r="D137" s="18">
        <f t="shared" si="29"/>
        <v>6940.1413273370881</v>
      </c>
      <c r="E137" s="18">
        <f t="shared" si="29"/>
        <v>13055.172413793101</v>
      </c>
      <c r="F137" s="18">
        <f t="shared" si="29"/>
        <v>0</v>
      </c>
      <c r="G137" s="18">
        <f t="shared" si="29"/>
        <v>0</v>
      </c>
      <c r="H137" s="18">
        <f t="shared" si="29"/>
        <v>6974.0636642917843</v>
      </c>
    </row>
    <row r="138" spans="1:9" x14ac:dyDescent="0.25">
      <c r="A138" t="s">
        <v>111</v>
      </c>
      <c r="B138" s="17">
        <f>IFERROR(B27/B68,0)</f>
        <v>2.06069127415459</v>
      </c>
      <c r="C138" s="17">
        <f t="shared" ref="C138:H138" si="30">IFERROR(C27/C68,0)</f>
        <v>1.9036111111111114</v>
      </c>
      <c r="D138" s="17">
        <f t="shared" si="30"/>
        <v>1.8071944444444443</v>
      </c>
      <c r="E138" s="17">
        <f t="shared" si="30"/>
        <v>1.0798666666666668</v>
      </c>
      <c r="F138" s="17">
        <f t="shared" si="30"/>
        <v>0</v>
      </c>
      <c r="G138" s="17">
        <f t="shared" si="30"/>
        <v>0</v>
      </c>
      <c r="H138" s="17">
        <f t="shared" si="30"/>
        <v>1.8570014814814815</v>
      </c>
    </row>
    <row r="139" spans="1:9" x14ac:dyDescent="0.25">
      <c r="A139" t="s">
        <v>302</v>
      </c>
      <c r="B139" s="17">
        <f t="shared" ref="B139:H139" si="31">B138/0.4</f>
        <v>5.1517281853864745</v>
      </c>
      <c r="C139" s="17">
        <f t="shared" si="31"/>
        <v>4.7590277777777779</v>
      </c>
      <c r="D139" s="17">
        <f t="shared" si="31"/>
        <v>4.5179861111111101</v>
      </c>
      <c r="E139" s="17">
        <f t="shared" si="31"/>
        <v>2.6996666666666669</v>
      </c>
      <c r="F139" s="17">
        <f t="shared" si="31"/>
        <v>0</v>
      </c>
      <c r="G139" s="17">
        <f t="shared" si="31"/>
        <v>0</v>
      </c>
      <c r="H139" s="17">
        <f t="shared" si="31"/>
        <v>4.6425037037037038</v>
      </c>
    </row>
    <row r="145" spans="5:8" x14ac:dyDescent="0.25">
      <c r="E145" s="44"/>
      <c r="F145" s="44"/>
      <c r="G145" s="44"/>
      <c r="H145" s="44"/>
    </row>
  </sheetData>
  <conditionalFormatting sqref="F5:H26 B96:E113 F77:H139 F28:H75">
    <cfRule type="cellIs" dxfId="8" priority="1" operator="lessThan">
      <formula>0.1</formula>
    </cfRule>
  </conditionalFormatting>
  <pageMargins left="0.7" right="0.7" top="0.75" bottom="0.75" header="0.3" footer="0.3"/>
  <pageSetup paperSize="9" scale="65" orientation="portrait" r:id="rId1"/>
  <drawing r:id="rId2"/>
  <legacyDrawing r:id="rId3"/>
  <controls>
    <mc:AlternateContent xmlns:mc="http://schemas.openxmlformats.org/markup-compatibility/2006">
      <mc:Choice Requires="x14">
        <control shapeId="19497" r:id="rId4" name="ComboBox7">
          <controlPr defaultSize="0" autoFill="0" autoLine="0" linkedCell="H2" listFillRange="VKlunne2" r:id="rId5">
            <anchor moveWithCells="1">
              <from>
                <xdr:col>7</xdr:col>
                <xdr:colOff>0</xdr:colOff>
                <xdr:row>1</xdr:row>
                <xdr:rowOff>0</xdr:rowOff>
              </from>
              <to>
                <xdr:col>8</xdr:col>
                <xdr:colOff>85725</xdr:colOff>
                <xdr:row>2</xdr:row>
                <xdr:rowOff>0</xdr:rowOff>
              </to>
            </anchor>
          </controlPr>
        </control>
      </mc:Choice>
      <mc:Fallback>
        <control shapeId="19497" r:id="rId4" name="ComboBox7"/>
      </mc:Fallback>
    </mc:AlternateContent>
    <mc:AlternateContent xmlns:mc="http://schemas.openxmlformats.org/markup-compatibility/2006">
      <mc:Choice Requires="x14">
        <control shapeId="19496" r:id="rId6" name="ComboBox6">
          <controlPr defaultSize="0" autoFill="0" autoLine="0" linkedCell="G2" listFillRange="VKlunne2" r:id="rId7">
            <anchor moveWithCells="1">
              <from>
                <xdr:col>6</xdr:col>
                <xdr:colOff>0</xdr:colOff>
                <xdr:row>1</xdr:row>
                <xdr:rowOff>0</xdr:rowOff>
              </from>
              <to>
                <xdr:col>7</xdr:col>
                <xdr:colOff>85725</xdr:colOff>
                <xdr:row>2</xdr:row>
                <xdr:rowOff>0</xdr:rowOff>
              </to>
            </anchor>
          </controlPr>
        </control>
      </mc:Choice>
      <mc:Fallback>
        <control shapeId="19496" r:id="rId6" name="ComboBox6"/>
      </mc:Fallback>
    </mc:AlternateContent>
    <mc:AlternateContent xmlns:mc="http://schemas.openxmlformats.org/markup-compatibility/2006">
      <mc:Choice Requires="x14">
        <control shapeId="19495" r:id="rId8" name="ComboBox5">
          <controlPr defaultSize="0" autoFill="0" autoLine="0" linkedCell="F2" listFillRange="VKlunne2" r:id="rId7">
            <anchor moveWithCells="1">
              <from>
                <xdr:col>5</xdr:col>
                <xdr:colOff>0</xdr:colOff>
                <xdr:row>1</xdr:row>
                <xdr:rowOff>0</xdr:rowOff>
              </from>
              <to>
                <xdr:col>6</xdr:col>
                <xdr:colOff>85725</xdr:colOff>
                <xdr:row>2</xdr:row>
                <xdr:rowOff>0</xdr:rowOff>
              </to>
            </anchor>
          </controlPr>
        </control>
      </mc:Choice>
      <mc:Fallback>
        <control shapeId="19495" r:id="rId8" name="ComboBox5"/>
      </mc:Fallback>
    </mc:AlternateContent>
    <mc:AlternateContent xmlns:mc="http://schemas.openxmlformats.org/markup-compatibility/2006">
      <mc:Choice Requires="x14">
        <control shapeId="19494" r:id="rId9" name="ComboBox4">
          <controlPr defaultSize="0" autoFill="0" autoLine="0" linkedCell="E2" listFillRange="VKlunne2" r:id="rId10">
            <anchor moveWithCells="1">
              <from>
                <xdr:col>4</xdr:col>
                <xdr:colOff>0</xdr:colOff>
                <xdr:row>1</xdr:row>
                <xdr:rowOff>0</xdr:rowOff>
              </from>
              <to>
                <xdr:col>5</xdr:col>
                <xdr:colOff>85725</xdr:colOff>
                <xdr:row>2</xdr:row>
                <xdr:rowOff>0</xdr:rowOff>
              </to>
            </anchor>
          </controlPr>
        </control>
      </mc:Choice>
      <mc:Fallback>
        <control shapeId="19494" r:id="rId9" name="ComboBox4"/>
      </mc:Fallback>
    </mc:AlternateContent>
    <mc:AlternateContent xmlns:mc="http://schemas.openxmlformats.org/markup-compatibility/2006">
      <mc:Choice Requires="x14">
        <control shapeId="19493" r:id="rId11" name="ComboBox3">
          <controlPr defaultSize="0" autoFill="0" autoLine="0" linkedCell="D2" listFillRange="VKlunne2" r:id="rId12">
            <anchor moveWithCells="1">
              <from>
                <xdr:col>3</xdr:col>
                <xdr:colOff>0</xdr:colOff>
                <xdr:row>1</xdr:row>
                <xdr:rowOff>0</xdr:rowOff>
              </from>
              <to>
                <xdr:col>3</xdr:col>
                <xdr:colOff>1143000</xdr:colOff>
                <xdr:row>2</xdr:row>
                <xdr:rowOff>0</xdr:rowOff>
              </to>
            </anchor>
          </controlPr>
        </control>
      </mc:Choice>
      <mc:Fallback>
        <control shapeId="19493" r:id="rId11" name="ComboBox3"/>
      </mc:Fallback>
    </mc:AlternateContent>
    <mc:AlternateContent xmlns:mc="http://schemas.openxmlformats.org/markup-compatibility/2006">
      <mc:Choice Requires="x14">
        <control shapeId="19492" r:id="rId13" name="ComboBox2">
          <controlPr defaultSize="0" autoFill="0" autoLine="0" linkedCell="C2" listFillRange="VKlunne2" r:id="rId14">
            <anchor moveWithCells="1">
              <from>
                <xdr:col>2</xdr:col>
                <xdr:colOff>0</xdr:colOff>
                <xdr:row>1</xdr:row>
                <xdr:rowOff>0</xdr:rowOff>
              </from>
              <to>
                <xdr:col>2</xdr:col>
                <xdr:colOff>1143000</xdr:colOff>
                <xdr:row>2</xdr:row>
                <xdr:rowOff>0</xdr:rowOff>
              </to>
            </anchor>
          </controlPr>
        </control>
      </mc:Choice>
      <mc:Fallback>
        <control shapeId="19492" r:id="rId13" name="ComboBox2"/>
      </mc:Fallback>
    </mc:AlternateContent>
    <mc:AlternateContent xmlns:mc="http://schemas.openxmlformats.org/markup-compatibility/2006">
      <mc:Choice Requires="x14">
        <control shapeId="19489" r:id="rId15" name="ComboBox1">
          <controlPr defaultSize="0" autoFill="0" autoLine="0" linkedCell="B2" listFillRange="VKlunne2" r:id="rId16">
            <anchor moveWithCells="1">
              <from>
                <xdr:col>1</xdr:col>
                <xdr:colOff>0</xdr:colOff>
                <xdr:row>1</xdr:row>
                <xdr:rowOff>0</xdr:rowOff>
              </from>
              <to>
                <xdr:col>1</xdr:col>
                <xdr:colOff>1143000</xdr:colOff>
                <xdr:row>2</xdr:row>
                <xdr:rowOff>0</xdr:rowOff>
              </to>
            </anchor>
          </controlPr>
        </control>
      </mc:Choice>
      <mc:Fallback>
        <control shapeId="19489" r:id="rId15" name="ComboBox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71"/>
  <dimension ref="A1:AD70"/>
  <sheetViews>
    <sheetView topLeftCell="A34" workbookViewId="0">
      <selection activeCell="A2" sqref="A2"/>
    </sheetView>
  </sheetViews>
  <sheetFormatPr baseColWidth="10" defaultRowHeight="15" outlineLevelRow="1" x14ac:dyDescent="0.25"/>
  <cols>
    <col min="1" max="1" width="51.5703125" customWidth="1"/>
    <col min="2" max="2" width="19.5703125" customWidth="1"/>
    <col min="3" max="4" width="20" customWidth="1"/>
    <col min="5" max="5" width="17.5703125" customWidth="1"/>
    <col min="6" max="6" width="15.5703125" customWidth="1"/>
    <col min="7" max="7" width="14.42578125" customWidth="1"/>
    <col min="8" max="8" width="12.42578125" customWidth="1"/>
    <col min="9" max="9" width="14.85546875" customWidth="1"/>
    <col min="10" max="10" width="15.5703125" customWidth="1"/>
    <col min="26" max="26" width="21.42578125" customWidth="1"/>
    <col min="28" max="28" width="16.42578125" customWidth="1"/>
  </cols>
  <sheetData>
    <row r="1" spans="1:30" ht="52.5" thickBot="1" x14ac:dyDescent="0.35">
      <c r="A1" s="52" t="s">
        <v>51</v>
      </c>
      <c r="B1" s="52" t="s">
        <v>198</v>
      </c>
      <c r="C1" s="52" t="s">
        <v>197</v>
      </c>
      <c r="D1" s="52" t="s">
        <v>199</v>
      </c>
      <c r="E1" s="52" t="s">
        <v>200</v>
      </c>
      <c r="F1" s="52" t="s">
        <v>201</v>
      </c>
      <c r="G1" s="52" t="s">
        <v>202</v>
      </c>
      <c r="H1" s="52"/>
      <c r="I1" s="52"/>
      <c r="J1" s="52"/>
      <c r="K1" s="52" t="s">
        <v>196</v>
      </c>
      <c r="Z1" t="s">
        <v>121</v>
      </c>
      <c r="AD1" t="s">
        <v>121</v>
      </c>
    </row>
    <row r="2" spans="1:30" ht="18.75" customHeight="1" outlineLevel="1" thickTop="1" x14ac:dyDescent="0.25">
      <c r="A2" t="s">
        <v>351</v>
      </c>
      <c r="B2" s="110" t="s">
        <v>355</v>
      </c>
      <c r="C2" s="110" t="s">
        <v>352</v>
      </c>
      <c r="D2" s="110" t="s">
        <v>353</v>
      </c>
      <c r="E2" s="110" t="s">
        <v>353</v>
      </c>
      <c r="F2" s="110" t="s">
        <v>354</v>
      </c>
      <c r="G2" s="110" t="s">
        <v>354</v>
      </c>
      <c r="Z2" t="str">
        <f>IF(ISBLANK(B1),"",B1)</f>
        <v>Heltre tømmerbil 19,5 m</v>
      </c>
      <c r="AA2" t="str">
        <f>IFERROR(INDEX(Z$2:Z$11, MATCH(0,INDEX(COUNTIF(AA$1:AA1, Z$2:Z$11), 0,0),0)),"")</f>
        <v>Heltre tømmerbil 19,5 m</v>
      </c>
      <c r="AD2" t="s">
        <v>355</v>
      </c>
    </row>
    <row r="3" spans="1:30" outlineLevel="1" x14ac:dyDescent="0.25">
      <c r="A3" s="36" t="s">
        <v>205</v>
      </c>
      <c r="B3" s="37">
        <v>50</v>
      </c>
      <c r="C3" s="37">
        <v>54</v>
      </c>
      <c r="D3" s="37">
        <v>50</v>
      </c>
      <c r="E3" s="36">
        <v>54</v>
      </c>
      <c r="F3" s="37">
        <v>50</v>
      </c>
      <c r="G3" s="37">
        <v>50</v>
      </c>
      <c r="H3" s="37"/>
      <c r="I3" s="37"/>
      <c r="J3" s="37"/>
      <c r="Z3" t="str">
        <f>IF(ISBLANK(C1),"",C1)</f>
        <v>Heltre tømmerbil 22 m</v>
      </c>
      <c r="AA3" t="str">
        <f>IFERROR(INDEX(Z$2:Z$11, MATCH(0,INDEX(COUNTIF(AA$1:AA2, Z$2:Z$11), 0,0),0)),"")</f>
        <v>Heltre tømmerbil 22 m</v>
      </c>
      <c r="AD3" t="s">
        <v>352</v>
      </c>
    </row>
    <row r="4" spans="1:30" outlineLevel="1" x14ac:dyDescent="0.25">
      <c r="A4" s="36" t="s">
        <v>204</v>
      </c>
      <c r="B4" s="37">
        <v>25.9</v>
      </c>
      <c r="C4" s="37">
        <v>26</v>
      </c>
      <c r="D4" s="37">
        <v>25.9</v>
      </c>
      <c r="E4" s="36">
        <v>26</v>
      </c>
      <c r="F4" s="37">
        <v>22</v>
      </c>
      <c r="G4" s="37">
        <v>28</v>
      </c>
      <c r="H4" s="37"/>
      <c r="I4" s="37"/>
      <c r="J4" s="37"/>
      <c r="Z4" t="str">
        <f>IF(ISBLANK(D1),"",D1)</f>
        <v>Bunter tømmerbil 19,5 m</v>
      </c>
      <c r="AA4" t="str">
        <f>IFERROR(INDEX(Z$2:Z$11, MATCH(0,INDEX(COUNTIF(AA$1:AA3, Z$2:Z$11), 0,0),0)),"")</f>
        <v>Bunter tømmerbil 19,5 m</v>
      </c>
      <c r="AD4" t="s">
        <v>353</v>
      </c>
    </row>
    <row r="5" spans="1:30" outlineLevel="1" x14ac:dyDescent="0.25">
      <c r="A5" s="36" t="s">
        <v>203</v>
      </c>
      <c r="B5" s="4">
        <f t="shared" ref="B5:G5" si="0">B3-B4</f>
        <v>24.1</v>
      </c>
      <c r="C5" s="4">
        <f t="shared" si="0"/>
        <v>28</v>
      </c>
      <c r="D5" s="4">
        <f t="shared" si="0"/>
        <v>24.1</v>
      </c>
      <c r="E5" s="4">
        <f t="shared" si="0"/>
        <v>28</v>
      </c>
      <c r="F5" s="4">
        <f t="shared" si="0"/>
        <v>28</v>
      </c>
      <c r="G5" s="4">
        <f t="shared" si="0"/>
        <v>22</v>
      </c>
      <c r="H5" s="4"/>
      <c r="I5" s="4"/>
      <c r="J5" s="4"/>
      <c r="Z5" t="str">
        <f>IF(ISBLANK(E1),"",E1)</f>
        <v>Bunter tømmerbil 22 m</v>
      </c>
      <c r="AA5" t="str">
        <f>IFERROR(INDEX(Z$2:Z$11, MATCH(0,INDEX(COUNTIF(AA$1:AA4, Z$2:Z$11), 0,0),0)),"")</f>
        <v>Bunter tømmerbil 22 m</v>
      </c>
      <c r="AD5" t="s">
        <v>354</v>
      </c>
    </row>
    <row r="6" spans="1:30" ht="17.25" outlineLevel="1" x14ac:dyDescent="0.25">
      <c r="A6" s="36" t="s">
        <v>127</v>
      </c>
      <c r="B6" s="29">
        <v>91</v>
      </c>
      <c r="C6" s="29">
        <v>105</v>
      </c>
      <c r="D6" s="29">
        <v>91</v>
      </c>
      <c r="E6" s="29">
        <v>105</v>
      </c>
      <c r="F6" s="29">
        <v>85</v>
      </c>
      <c r="G6" s="29">
        <v>85</v>
      </c>
      <c r="H6" s="29"/>
      <c r="I6" s="29"/>
      <c r="J6" s="29"/>
      <c r="Z6" t="str">
        <f>IF(ISBLANK(F1),"",F1)</f>
        <v>Flisbil til terminal</v>
      </c>
      <c r="AA6" t="str">
        <f>IFERROR(INDEX(Z$2:Z$11, MATCH(0,INDEX(COUNTIF(AA$1:AA5, Z$2:Z$11), 0,0),0)),"")</f>
        <v>Flisbil til terminal</v>
      </c>
    </row>
    <row r="7" spans="1:30" outlineLevel="1" x14ac:dyDescent="0.25">
      <c r="A7" s="36" t="s">
        <v>137</v>
      </c>
      <c r="B7" s="51">
        <f>IF(B2="Heltre",Forutsetninger!$D$28,IF(B2="Bunter",Forutsetninger!$D$32,IF(B2="Flis",Forutsetninger!$D$31,IF(B2="Rundvirke",Forutsetninger!$D$30,0))))</f>
        <v>0.6</v>
      </c>
      <c r="C7" s="51">
        <f>IF(C2="Heltre",Forutsetninger!$D$28,IF(C2="Bunter",Forutsetninger!$D$32,IF(C2="Flis",Forutsetninger!$D$31,IF(C2="Rundvirke",Forutsetninger!$D$30,0))))</f>
        <v>0.2</v>
      </c>
      <c r="D7" s="51">
        <f>IF(D2="Heltre",Forutsetninger!$D$28,IF(D2="Bunter",Forutsetninger!$D$32,IF(D2="Flis",Forutsetninger!$D$31,IF(D2="Rundvirke",Forutsetninger!$D$30,0))))</f>
        <v>0.3</v>
      </c>
      <c r="E7" s="51">
        <f>IF(E2="Heltre",Forutsetninger!$D$28,IF(E2="Bunter",Forutsetninger!$D$32,IF(E2="Flis",Forutsetninger!$D$31,IF(E2="Rundvirke",Forutsetninger!$D$30,0))))</f>
        <v>0.3</v>
      </c>
      <c r="F7" s="51">
        <f>IF(F2="Heltre",Forutsetninger!$D$28,IF(F2="Bunter",Forutsetninger!$D$32,IF(F2="Flis",Forutsetninger!$D$31,IF(F2="Rundvirke",Forutsetninger!$D$30,0))))</f>
        <v>0.4</v>
      </c>
      <c r="G7" s="51">
        <f>IF(G2="Heltre",Forutsetninger!$D$28,IF(G2="Bunter",Forutsetninger!$D$32,IF(G2="Flis",Forutsetninger!$D$31,IF(G2="Rundvirke",Forutsetninger!$D$30,0))))</f>
        <v>0.4</v>
      </c>
      <c r="H7" s="51">
        <f>IF(H2="Heltre",Forutsetninger!$D$28,IF(H2="Bunter",Forutsetninger!$D$32,IF(H2="Flis",Forutsetninger!$D$31,IF(H2="Rundvirke",Forutsetninger!$D$30,0))))</f>
        <v>0</v>
      </c>
      <c r="I7" s="51">
        <f>IF(I2="Heltre",Forutsetninger!$D$28,IF(I2="Bunter",Forutsetninger!$D$32,IF(I2="Flis",Forutsetninger!$D$31,IF(I2="Rundvirke",Forutsetninger!$D$30,0))))</f>
        <v>0</v>
      </c>
      <c r="J7" s="51">
        <f>IF(J2="Heltre",Forutsetninger!$D$28,IF(J2="Bunter",Forutsetninger!$D$32,IF(J2="Flis",Forutsetninger!$D$31,IF(J2="Rundvirke",Forutsetninger!$D$30,0))))</f>
        <v>0</v>
      </c>
      <c r="Z7" t="str">
        <f>IF(ISBLANK(G1),"",G1)</f>
        <v>Flisbil til varmeverk</v>
      </c>
      <c r="AA7" t="str">
        <f>IFERROR(INDEX(Z$2:Z$11, MATCH(0,INDEX(COUNTIF(AA$1:AA6, Z$2:Z$11), 0,0),0)),"")</f>
        <v>Flisbil til varmeverk</v>
      </c>
    </row>
    <row r="8" spans="1:30" outlineLevel="1" x14ac:dyDescent="0.25">
      <c r="A8" s="36" t="s">
        <v>138</v>
      </c>
      <c r="B8" s="51">
        <f>IF(B5&gt;0,Forutsetninger!$D$34,0)</f>
        <v>0.4</v>
      </c>
      <c r="C8" s="51">
        <f>IF(C5&gt;0,Forutsetninger!$D$34,0)</f>
        <v>0.4</v>
      </c>
      <c r="D8" s="51">
        <f>IF(D5&gt;0,Forutsetninger!$D$34,0)</f>
        <v>0.4</v>
      </c>
      <c r="E8" s="51">
        <f>IF(E5&gt;0,Forutsetninger!$D$34,0)</f>
        <v>0.4</v>
      </c>
      <c r="F8" s="51">
        <f>IF(F5&gt;0,Forutsetninger!$D$34,0)</f>
        <v>0.4</v>
      </c>
      <c r="G8" s="51">
        <f>IF(G5&gt;0,Forutsetninger!$D$34,0)</f>
        <v>0.4</v>
      </c>
      <c r="H8" s="116">
        <f>IF(H5&gt;0,Forutsetninger!$D$34,0)</f>
        <v>0</v>
      </c>
      <c r="I8" s="116">
        <f>IF(I5&gt;0,Forutsetninger!$D$34,0)</f>
        <v>0</v>
      </c>
      <c r="J8" s="116">
        <f>IF(J5&gt;0,Forutsetninger!$D$34,0)</f>
        <v>0</v>
      </c>
      <c r="Z8" t="str">
        <f>IF(ISBLANK(H1),"",H1)</f>
        <v/>
      </c>
      <c r="AA8" t="str">
        <f>IFERROR(INDEX(Z$2:Z$11, MATCH(0,INDEX(COUNTIF(AA$1:AA7, Z$2:Z$11), 0,0),0)),"")</f>
        <v>Ingen</v>
      </c>
    </row>
    <row r="9" spans="1:30" ht="17.25" outlineLevel="1" x14ac:dyDescent="0.25">
      <c r="A9" s="36" t="s">
        <v>350</v>
      </c>
      <c r="B9" s="51">
        <f>IF(B5&gt;0,Forutsetninger!$D$27,0)</f>
        <v>0.4</v>
      </c>
      <c r="C9" s="51">
        <f>IF(C5&gt;0,Forutsetninger!$D$27,0)</f>
        <v>0.4</v>
      </c>
      <c r="D9" s="51">
        <f>IF(D5&gt;0,Forutsetninger!$D$27,0)</f>
        <v>0.4</v>
      </c>
      <c r="E9" s="51">
        <f>IF(E5&gt;0,Forutsetninger!$D$27,0)</f>
        <v>0.4</v>
      </c>
      <c r="F9" s="51">
        <f>IF(F5&gt;0,Forutsetninger!$D$27,0)</f>
        <v>0.4</v>
      </c>
      <c r="G9" s="51">
        <f>IF(G5&gt;0,Forutsetninger!$D$27,0)</f>
        <v>0.4</v>
      </c>
      <c r="H9" s="51">
        <f>IF(H5&gt;0,Forutsetninger!$D$27,0)</f>
        <v>0</v>
      </c>
      <c r="I9" s="51">
        <f>IF(I5&gt;0,Forutsetninger!$D$27,0)</f>
        <v>0</v>
      </c>
      <c r="J9" s="51">
        <f>IF(J5&gt;0,Forutsetninger!$D$27,0)</f>
        <v>0</v>
      </c>
      <c r="Z9" t="str">
        <f>IF(ISBLANK(I1),"",I1)</f>
        <v/>
      </c>
      <c r="AA9" t="str">
        <f>IFERROR(INDEX(Z$2:Z$11, MATCH(0,INDEX(COUNTIF(AA$1:AA8, Z$2:Z$11), 0,0),0)),"")</f>
        <v/>
      </c>
    </row>
    <row r="10" spans="1:30" x14ac:dyDescent="0.25">
      <c r="A10" s="36"/>
      <c r="B10" s="19"/>
      <c r="C10" s="19"/>
      <c r="D10" s="19"/>
      <c r="E10" s="19"/>
      <c r="F10" s="19"/>
      <c r="G10" s="19"/>
      <c r="H10" s="19"/>
      <c r="I10" s="19"/>
      <c r="J10" s="19"/>
      <c r="Z10" t="str">
        <f>IF(ISBLANK(J1),"",J1)</f>
        <v/>
      </c>
      <c r="AA10" t="str">
        <f>IFERROR(INDEX(Z$2:Z$11, MATCH(0,INDEX(COUNTIF(AA$1:AA9, Z$2:Z$11), 0,0),0)),"")</f>
        <v/>
      </c>
    </row>
    <row r="11" spans="1:30" ht="18" thickBot="1" x14ac:dyDescent="0.35">
      <c r="A11" s="2" t="s">
        <v>143</v>
      </c>
      <c r="B11" s="2"/>
      <c r="C11" s="2"/>
      <c r="D11" s="2"/>
      <c r="E11" s="2"/>
      <c r="F11" s="2"/>
      <c r="G11" s="2"/>
      <c r="H11" s="2"/>
      <c r="I11" s="2"/>
      <c r="J11" s="2"/>
      <c r="Z11" t="str">
        <f>IF(ISBLANK(K1),"",K1)</f>
        <v>Ingen</v>
      </c>
      <c r="AA11" t="str">
        <f>IFERROR(INDEX(Z$2:Z$11, MATCH(0,INDEX(COUNTIF(AA$1:AA10, Z$2:Z$11), 0,0),0)),"")</f>
        <v/>
      </c>
    </row>
    <row r="12" spans="1:30" ht="15.75" outlineLevel="1" thickTop="1" x14ac:dyDescent="0.25">
      <c r="A12" s="1" t="s">
        <v>36</v>
      </c>
      <c r="B12" s="36">
        <v>230</v>
      </c>
      <c r="C12" s="36">
        <v>230</v>
      </c>
      <c r="D12" s="36">
        <v>230</v>
      </c>
      <c r="E12" s="36">
        <v>230</v>
      </c>
      <c r="F12" s="36">
        <v>230</v>
      </c>
      <c r="G12" s="36">
        <v>230</v>
      </c>
      <c r="H12" s="36"/>
      <c r="I12" s="36"/>
      <c r="J12" s="36"/>
    </row>
    <row r="13" spans="1:30" outlineLevel="1" x14ac:dyDescent="0.25">
      <c r="A13" s="1" t="s">
        <v>68</v>
      </c>
      <c r="B13" s="36">
        <v>1</v>
      </c>
      <c r="C13" s="36">
        <v>1</v>
      </c>
      <c r="D13" s="36">
        <v>1</v>
      </c>
      <c r="E13" s="36">
        <v>1</v>
      </c>
      <c r="F13" s="36">
        <v>1</v>
      </c>
      <c r="G13" s="36">
        <v>1</v>
      </c>
      <c r="H13" s="36"/>
      <c r="I13" s="36"/>
      <c r="J13" s="36"/>
    </row>
    <row r="14" spans="1:30" outlineLevel="1" x14ac:dyDescent="0.25">
      <c r="A14" s="1" t="s">
        <v>117</v>
      </c>
      <c r="B14" s="36">
        <v>7.5</v>
      </c>
      <c r="C14" s="36">
        <v>7.5</v>
      </c>
      <c r="D14" s="36">
        <v>7.5</v>
      </c>
      <c r="E14" s="36">
        <v>7.5</v>
      </c>
      <c r="F14" s="36">
        <v>7.5</v>
      </c>
      <c r="G14" s="36">
        <v>7.5</v>
      </c>
      <c r="H14" s="36"/>
      <c r="I14" s="36"/>
      <c r="J14" s="36"/>
    </row>
    <row r="15" spans="1:30" x14ac:dyDescent="0.25">
      <c r="A15" s="36"/>
      <c r="B15" s="37"/>
      <c r="C15" s="37"/>
      <c r="D15" s="37"/>
      <c r="E15" s="36"/>
      <c r="F15" s="36"/>
      <c r="G15" s="36"/>
      <c r="H15" s="36"/>
      <c r="I15" s="36"/>
      <c r="J15" s="36"/>
    </row>
    <row r="16" spans="1:30" ht="18" thickBot="1" x14ac:dyDescent="0.35">
      <c r="A16" s="2" t="s">
        <v>209</v>
      </c>
      <c r="B16" s="2"/>
      <c r="C16" s="2"/>
      <c r="D16" s="2"/>
      <c r="E16" s="2"/>
      <c r="F16" s="2"/>
      <c r="G16" s="2"/>
      <c r="H16" s="2"/>
      <c r="I16" s="2"/>
      <c r="J16" s="2"/>
    </row>
    <row r="17" spans="1:11" ht="15.75" outlineLevel="1" thickTop="1" x14ac:dyDescent="0.25">
      <c r="A17" s="1" t="s">
        <v>210</v>
      </c>
      <c r="B17" s="38">
        <v>520</v>
      </c>
      <c r="C17" s="38">
        <v>520</v>
      </c>
      <c r="D17" s="38">
        <v>520</v>
      </c>
      <c r="E17" s="38">
        <v>520</v>
      </c>
      <c r="F17" s="38">
        <v>520</v>
      </c>
      <c r="G17" s="38">
        <v>520</v>
      </c>
      <c r="H17" s="38"/>
      <c r="I17" s="38"/>
      <c r="J17" s="38"/>
    </row>
    <row r="18" spans="1:11" outlineLevel="1" x14ac:dyDescent="0.25">
      <c r="A18" s="1" t="s">
        <v>211</v>
      </c>
      <c r="B18" s="38">
        <v>7</v>
      </c>
      <c r="C18" s="38">
        <v>7</v>
      </c>
      <c r="D18" s="38">
        <v>7</v>
      </c>
      <c r="E18" s="38">
        <v>7</v>
      </c>
      <c r="F18" s="38">
        <v>7</v>
      </c>
      <c r="G18" s="38">
        <v>7</v>
      </c>
      <c r="H18" s="38"/>
      <c r="I18" s="38"/>
      <c r="J18" s="38"/>
    </row>
    <row r="19" spans="1:11" outlineLevel="1" x14ac:dyDescent="0.25">
      <c r="A19" s="1" t="s">
        <v>223</v>
      </c>
      <c r="B19" s="38">
        <v>300</v>
      </c>
      <c r="C19" s="38">
        <v>300</v>
      </c>
      <c r="D19" s="38">
        <v>300</v>
      </c>
      <c r="E19" s="38">
        <v>300</v>
      </c>
      <c r="F19" s="38">
        <v>300</v>
      </c>
      <c r="G19" s="38">
        <v>300</v>
      </c>
      <c r="H19" s="38"/>
      <c r="I19" s="38"/>
      <c r="J19" s="38"/>
    </row>
    <row r="20" spans="1:11" x14ac:dyDescent="0.25">
      <c r="A20" s="1"/>
      <c r="B20" s="38"/>
      <c r="C20" s="38"/>
      <c r="D20" s="38"/>
      <c r="E20" s="38"/>
      <c r="F20" s="38"/>
      <c r="G20" s="38"/>
      <c r="H20" s="38"/>
      <c r="I20" s="38"/>
      <c r="J20" s="38"/>
    </row>
    <row r="21" spans="1:11" ht="18" thickBot="1" x14ac:dyDescent="0.35">
      <c r="A21" s="2" t="s">
        <v>74</v>
      </c>
      <c r="B21" s="2"/>
      <c r="C21" s="2"/>
      <c r="D21" s="2"/>
      <c r="E21" s="2"/>
      <c r="F21" s="2"/>
      <c r="G21" s="2"/>
      <c r="H21" s="2"/>
      <c r="I21" s="2"/>
      <c r="J21" s="2"/>
    </row>
    <row r="22" spans="1:11" ht="15.75" outlineLevel="1" thickTop="1" x14ac:dyDescent="0.25">
      <c r="A22" s="1" t="s">
        <v>218</v>
      </c>
      <c r="B22" s="46">
        <v>0.9</v>
      </c>
      <c r="C22" s="46">
        <v>0.9</v>
      </c>
      <c r="D22" s="46">
        <v>0.9</v>
      </c>
      <c r="E22" s="46">
        <v>0.9</v>
      </c>
      <c r="F22" s="46">
        <v>0.9</v>
      </c>
      <c r="G22" s="46">
        <v>0.9</v>
      </c>
      <c r="H22" s="46"/>
      <c r="I22" s="46"/>
      <c r="J22" s="46"/>
    </row>
    <row r="23" spans="1:11" outlineLevel="1" x14ac:dyDescent="0.25">
      <c r="A23" s="1" t="s">
        <v>359</v>
      </c>
      <c r="B23" s="46">
        <v>5</v>
      </c>
      <c r="C23" s="46">
        <v>5</v>
      </c>
      <c r="D23" s="46">
        <v>5</v>
      </c>
      <c r="E23" s="46">
        <v>5</v>
      </c>
      <c r="F23" s="46">
        <v>30</v>
      </c>
      <c r="G23" s="46">
        <v>30</v>
      </c>
      <c r="H23" s="46"/>
      <c r="I23" s="46"/>
      <c r="J23" s="46"/>
    </row>
    <row r="24" spans="1:11" outlineLevel="1" x14ac:dyDescent="0.25">
      <c r="A24" s="1" t="s">
        <v>206</v>
      </c>
      <c r="B24" s="46">
        <v>5</v>
      </c>
      <c r="C24" s="46">
        <v>5</v>
      </c>
      <c r="D24" s="46">
        <v>3</v>
      </c>
      <c r="E24" s="46">
        <v>3</v>
      </c>
      <c r="F24" s="46">
        <v>0.5</v>
      </c>
      <c r="G24" s="46">
        <v>0.5</v>
      </c>
      <c r="H24" s="46"/>
      <c r="I24" s="46"/>
      <c r="J24" s="46"/>
    </row>
    <row r="25" spans="1:11" outlineLevel="1" x14ac:dyDescent="0.25">
      <c r="A25" s="1" t="s">
        <v>277</v>
      </c>
      <c r="B25" s="22">
        <f>12.7*LOG(Forutsetninger!$D$6)+9.3</f>
        <v>30.876919055067436</v>
      </c>
      <c r="C25" s="22">
        <f>12.7*LOG(Forutsetninger!$D$6)+9.3</f>
        <v>30.876919055067436</v>
      </c>
      <c r="D25" s="22">
        <f>12.7*LOG(Forutsetninger!$D$6)+9.3</f>
        <v>30.876919055067436</v>
      </c>
      <c r="E25" s="22">
        <f>12.7*LOG(Forutsetninger!$D$6)+9.3</f>
        <v>30.876919055067436</v>
      </c>
      <c r="F25" s="22">
        <f>12.7*LOG(Forutsetninger!$D$6)+9.3</f>
        <v>30.876919055067436</v>
      </c>
      <c r="G25" s="22">
        <f>12.7*LOG(Forutsetninger!D8)+9.3</f>
        <v>32.323999629364266</v>
      </c>
      <c r="H25" s="22">
        <f>IF(H206,12.7*LOG(Forutsetninger!E8)+9.3,0)</f>
        <v>0</v>
      </c>
      <c r="I25" s="22">
        <f>IF(I206,12.7*LOG(Forutsetninger!F8)+9.3,0)</f>
        <v>0</v>
      </c>
      <c r="J25" s="22">
        <f>IF(J206,12.7*LOG(Forutsetninger!G8)+9.3,0)</f>
        <v>0</v>
      </c>
      <c r="K25" s="46"/>
    </row>
    <row r="26" spans="1:11" outlineLevel="1" x14ac:dyDescent="0.25">
      <c r="A26" s="1" t="s">
        <v>278</v>
      </c>
      <c r="B26" s="22">
        <v>31</v>
      </c>
      <c r="C26" s="22">
        <v>31</v>
      </c>
      <c r="D26" s="22">
        <v>31</v>
      </c>
      <c r="E26" s="22">
        <v>31</v>
      </c>
      <c r="F26" s="22">
        <v>31</v>
      </c>
      <c r="G26" s="22">
        <v>31</v>
      </c>
      <c r="H26" s="22"/>
      <c r="I26" s="22"/>
      <c r="J26" s="22"/>
      <c r="K26" s="46"/>
    </row>
    <row r="27" spans="1:11" outlineLevel="1" x14ac:dyDescent="0.25">
      <c r="A27" s="1" t="s">
        <v>346</v>
      </c>
      <c r="B27" s="24">
        <v>1</v>
      </c>
      <c r="C27" s="24">
        <v>1</v>
      </c>
      <c r="D27" s="24">
        <v>1</v>
      </c>
      <c r="E27" s="24">
        <v>1</v>
      </c>
      <c r="F27" s="24">
        <v>1</v>
      </c>
      <c r="G27" s="24">
        <v>1</v>
      </c>
      <c r="H27" s="22"/>
      <c r="I27" s="22"/>
      <c r="J27" s="22"/>
      <c r="K27" s="46"/>
    </row>
    <row r="28" spans="1:11" outlineLevel="1" x14ac:dyDescent="0.25">
      <c r="A28" s="1" t="s">
        <v>345</v>
      </c>
      <c r="B28" s="44">
        <v>1</v>
      </c>
      <c r="C28" s="44">
        <v>1</v>
      </c>
      <c r="D28" s="44">
        <v>1</v>
      </c>
      <c r="E28" s="44">
        <v>1</v>
      </c>
      <c r="F28" s="44">
        <v>1</v>
      </c>
      <c r="G28" s="44">
        <v>1</v>
      </c>
      <c r="H28" s="46"/>
      <c r="I28" s="46"/>
      <c r="J28" s="46"/>
      <c r="K28" s="46"/>
    </row>
    <row r="29" spans="1:11" x14ac:dyDescent="0.25">
      <c r="A29" s="1"/>
      <c r="B29" s="19"/>
      <c r="C29" s="19"/>
      <c r="D29" s="19"/>
      <c r="E29" s="19"/>
      <c r="F29" s="19"/>
      <c r="G29" s="19"/>
      <c r="H29" s="19"/>
      <c r="I29" s="19"/>
      <c r="J29" s="19"/>
    </row>
    <row r="30" spans="1:11" ht="18" thickBot="1" x14ac:dyDescent="0.35">
      <c r="A30" s="20" t="s">
        <v>79</v>
      </c>
      <c r="B30" s="20"/>
      <c r="C30" s="20"/>
      <c r="D30" s="20"/>
      <c r="E30" s="20"/>
      <c r="F30" s="20"/>
      <c r="G30" s="20"/>
      <c r="H30" s="20"/>
      <c r="I30" s="20"/>
      <c r="J30" s="20"/>
    </row>
    <row r="31" spans="1:11" ht="15.75" outlineLevel="1" thickTop="1" x14ac:dyDescent="0.25">
      <c r="A31" s="21" t="s">
        <v>254</v>
      </c>
      <c r="B31" s="48">
        <f>MIN(B6*B7, B5*(1-B8)/Forutsetninger!$D27)</f>
        <v>36.15</v>
      </c>
      <c r="C31" s="48">
        <f>MIN(C6*C7, C5*(1-C8)/Forutsetninger!$D27)</f>
        <v>21</v>
      </c>
      <c r="D31" s="48">
        <f>MIN(D6*D7, D5*(1-D8)/Forutsetninger!$D27)</f>
        <v>27.3</v>
      </c>
      <c r="E31" s="48">
        <f>MIN(E6*E7, E5*(1-E8)/Forutsetninger!$D27)</f>
        <v>31.5</v>
      </c>
      <c r="F31" s="48">
        <f>MIN(F6*F7, F5*(1-F8)/Forutsetninger!$D27)</f>
        <v>34</v>
      </c>
      <c r="G31" s="48">
        <f>MIN(G6*G7, G5*(1-G8)/Forutsetninger!$D27)</f>
        <v>32.999999999999993</v>
      </c>
      <c r="H31" s="48">
        <f>MIN(H6*H7, H5*(1-H8)/Forutsetninger!$D27)</f>
        <v>0</v>
      </c>
      <c r="I31" s="48">
        <f>MIN(I6*I7, I5*(1-I8)/Forutsetninger!$D27)</f>
        <v>0</v>
      </c>
      <c r="J31" s="48">
        <f>MIN(J6*J7, J5*(1-J8)/Forutsetninger!$D27)</f>
        <v>0</v>
      </c>
    </row>
    <row r="32" spans="1:11" outlineLevel="1" x14ac:dyDescent="0.25">
      <c r="A32" s="21" t="s">
        <v>356</v>
      </c>
      <c r="B32" s="48">
        <f>MIN(B5*(1-B8),B6*B7*B9)</f>
        <v>14.46</v>
      </c>
      <c r="C32" s="48">
        <f t="shared" ref="C32:J32" si="1">MIN(C5*(1-C8),C6*C7*C9)</f>
        <v>8.4</v>
      </c>
      <c r="D32" s="48">
        <f t="shared" si="1"/>
        <v>10.920000000000002</v>
      </c>
      <c r="E32" s="48">
        <f t="shared" si="1"/>
        <v>12.600000000000001</v>
      </c>
      <c r="F32" s="48">
        <f t="shared" si="1"/>
        <v>13.600000000000001</v>
      </c>
      <c r="G32" s="48">
        <f t="shared" si="1"/>
        <v>13.2</v>
      </c>
      <c r="H32" s="48">
        <f t="shared" si="1"/>
        <v>0</v>
      </c>
      <c r="I32" s="48">
        <f t="shared" si="1"/>
        <v>0</v>
      </c>
      <c r="J32" s="48">
        <f t="shared" si="1"/>
        <v>0</v>
      </c>
    </row>
    <row r="33" spans="1:14" outlineLevel="1" x14ac:dyDescent="0.25">
      <c r="A33" s="21" t="s">
        <v>357</v>
      </c>
      <c r="B33" s="48">
        <f>IFERROR(B32/(1-B8),0)</f>
        <v>24.1</v>
      </c>
      <c r="C33" s="48">
        <f t="shared" ref="C33:J33" si="2">IFERROR(C32/(1-C8),0)</f>
        <v>14.000000000000002</v>
      </c>
      <c r="D33" s="48">
        <f t="shared" si="2"/>
        <v>18.200000000000003</v>
      </c>
      <c r="E33" s="48">
        <f t="shared" si="2"/>
        <v>21.000000000000004</v>
      </c>
      <c r="F33" s="48">
        <f t="shared" si="2"/>
        <v>22.666666666666671</v>
      </c>
      <c r="G33" s="48">
        <f t="shared" si="2"/>
        <v>22</v>
      </c>
      <c r="H33" s="48">
        <f t="shared" si="2"/>
        <v>0</v>
      </c>
      <c r="I33" s="48">
        <f t="shared" si="2"/>
        <v>0</v>
      </c>
      <c r="J33" s="48">
        <f t="shared" si="2"/>
        <v>0</v>
      </c>
    </row>
    <row r="34" spans="1:14" outlineLevel="1" x14ac:dyDescent="0.25">
      <c r="A34" s="1" t="s">
        <v>358</v>
      </c>
      <c r="B34" s="118">
        <f t="shared" ref="B34:J34" si="3">B31*B22</f>
        <v>32.534999999999997</v>
      </c>
      <c r="C34" s="118">
        <f t="shared" si="3"/>
        <v>18.900000000000002</v>
      </c>
      <c r="D34" s="118">
        <f t="shared" si="3"/>
        <v>24.57</v>
      </c>
      <c r="E34" s="118">
        <f t="shared" si="3"/>
        <v>28.35</v>
      </c>
      <c r="F34" s="118">
        <f t="shared" si="3"/>
        <v>30.6</v>
      </c>
      <c r="G34" s="118">
        <f t="shared" si="3"/>
        <v>29.699999999999996</v>
      </c>
      <c r="H34">
        <f t="shared" si="3"/>
        <v>0</v>
      </c>
      <c r="I34">
        <f t="shared" si="3"/>
        <v>0</v>
      </c>
      <c r="J34">
        <f t="shared" si="3"/>
        <v>0</v>
      </c>
    </row>
    <row r="35" spans="1:14" outlineLevel="1" x14ac:dyDescent="0.25">
      <c r="A35" s="21" t="s">
        <v>217</v>
      </c>
      <c r="B35" s="22">
        <f t="shared" ref="B35:J35" si="4">B12*B14*B13</f>
        <v>1725</v>
      </c>
      <c r="C35" s="22">
        <f t="shared" si="4"/>
        <v>1725</v>
      </c>
      <c r="D35" s="22">
        <f t="shared" si="4"/>
        <v>1725</v>
      </c>
      <c r="E35" s="22">
        <f t="shared" si="4"/>
        <v>1725</v>
      </c>
      <c r="F35" s="22">
        <f t="shared" si="4"/>
        <v>1725</v>
      </c>
      <c r="G35" s="22">
        <f t="shared" si="4"/>
        <v>1725</v>
      </c>
      <c r="H35" s="22">
        <f t="shared" si="4"/>
        <v>0</v>
      </c>
      <c r="I35" s="22">
        <f t="shared" si="4"/>
        <v>0</v>
      </c>
      <c r="J35" s="22">
        <f t="shared" si="4"/>
        <v>0</v>
      </c>
      <c r="N35" s="117"/>
    </row>
    <row r="36" spans="1:14" outlineLevel="1" x14ac:dyDescent="0.25">
      <c r="A36" s="21" t="s">
        <v>216</v>
      </c>
      <c r="B36" s="22">
        <f t="shared" ref="B36:G36" si="5">B35*B28</f>
        <v>1725</v>
      </c>
      <c r="C36" s="22">
        <f t="shared" si="5"/>
        <v>1725</v>
      </c>
      <c r="D36" s="22">
        <f t="shared" si="5"/>
        <v>1725</v>
      </c>
      <c r="E36" s="22">
        <f t="shared" si="5"/>
        <v>1725</v>
      </c>
      <c r="F36" s="22">
        <f t="shared" si="5"/>
        <v>1725</v>
      </c>
      <c r="G36" s="22">
        <f t="shared" si="5"/>
        <v>1725</v>
      </c>
      <c r="H36" s="22">
        <f>H35*H28</f>
        <v>0</v>
      </c>
      <c r="I36" s="22">
        <f>I35*I28</f>
        <v>0</v>
      </c>
      <c r="J36" s="22">
        <f>J35*J28</f>
        <v>0</v>
      </c>
    </row>
    <row r="37" spans="1:14" ht="15.75" outlineLevel="1" x14ac:dyDescent="0.3">
      <c r="A37" s="1" t="s">
        <v>348</v>
      </c>
      <c r="B37" s="48">
        <f t="shared" ref="B37:J37" si="6">(B24*B34+B23)/60</f>
        <v>2.7945833333333332</v>
      </c>
      <c r="C37" s="48">
        <f t="shared" si="6"/>
        <v>1.6583333333333337</v>
      </c>
      <c r="D37" s="48">
        <f t="shared" si="6"/>
        <v>1.3118333333333334</v>
      </c>
      <c r="E37" s="48">
        <f t="shared" si="6"/>
        <v>1.5008333333333335</v>
      </c>
      <c r="F37" s="48">
        <f t="shared" si="6"/>
        <v>0.755</v>
      </c>
      <c r="G37" s="48">
        <f t="shared" si="6"/>
        <v>0.74749999999999994</v>
      </c>
      <c r="H37" s="48">
        <f t="shared" si="6"/>
        <v>0</v>
      </c>
      <c r="I37" s="48">
        <f t="shared" si="6"/>
        <v>0</v>
      </c>
      <c r="J37" s="48">
        <f t="shared" si="6"/>
        <v>0</v>
      </c>
    </row>
    <row r="38" spans="1:14" ht="15.75" outlineLevel="1" x14ac:dyDescent="0.3">
      <c r="A38" s="1" t="s">
        <v>349</v>
      </c>
      <c r="B38" s="48">
        <f>Forutsetninger!$D6*2/B26</f>
        <v>3.225806451612903</v>
      </c>
      <c r="C38" s="48">
        <f>Forutsetninger!$D6*2/C26</f>
        <v>3.225806451612903</v>
      </c>
      <c r="D38" s="48">
        <f>Forutsetninger!$D6*2/D26</f>
        <v>3.225806451612903</v>
      </c>
      <c r="E38" s="48">
        <f>Forutsetninger!$D6*2/E26</f>
        <v>3.225806451612903</v>
      </c>
      <c r="F38" s="48">
        <f>Forutsetninger!$D6*2/F26</f>
        <v>3.225806451612903</v>
      </c>
      <c r="G38" s="48">
        <f>Forutsetninger!$D6*2/G26</f>
        <v>3.225806451612903</v>
      </c>
      <c r="H38" s="49">
        <f>IFERROR(Forutsetninger!$D6*2/H26,0)</f>
        <v>0</v>
      </c>
      <c r="I38" s="49">
        <f>IFERROR(Forutsetninger!$D6*2/I26,0)</f>
        <v>0</v>
      </c>
      <c r="J38" s="49">
        <f>IFERROR(Forutsetninger!$D6*2/J26,0)</f>
        <v>0</v>
      </c>
    </row>
    <row r="39" spans="1:14" ht="15.75" outlineLevel="1" x14ac:dyDescent="0.3">
      <c r="A39" s="1" t="s">
        <v>133</v>
      </c>
      <c r="B39" s="48">
        <f t="shared" ref="B39:G39" si="7">B37+B38</f>
        <v>6.0203897849462358</v>
      </c>
      <c r="C39" s="48">
        <f t="shared" si="7"/>
        <v>4.8841397849462371</v>
      </c>
      <c r="D39" s="48">
        <f t="shared" si="7"/>
        <v>4.5376397849462364</v>
      </c>
      <c r="E39" s="48">
        <f t="shared" si="7"/>
        <v>4.7266397849462365</v>
      </c>
      <c r="F39" s="48">
        <f t="shared" si="7"/>
        <v>3.9808064516129029</v>
      </c>
      <c r="G39" s="48">
        <f t="shared" si="7"/>
        <v>3.9733064516129031</v>
      </c>
      <c r="H39" s="48">
        <f>H37+H38</f>
        <v>0</v>
      </c>
      <c r="I39" s="48">
        <f>I37+I38</f>
        <v>0</v>
      </c>
      <c r="J39" s="48">
        <f>J37+J38</f>
        <v>0</v>
      </c>
    </row>
    <row r="40" spans="1:14" ht="15.75" outlineLevel="1" x14ac:dyDescent="0.3">
      <c r="A40" s="21" t="s">
        <v>116</v>
      </c>
      <c r="B40" s="25">
        <f t="shared" ref="B40:G40" si="8">B34/B39</f>
        <v>5.4041351411087319</v>
      </c>
      <c r="C40" s="25">
        <f t="shared" si="8"/>
        <v>3.8696681160217952</v>
      </c>
      <c r="D40" s="25">
        <f t="shared" si="8"/>
        <v>5.4147092242781705</v>
      </c>
      <c r="E40" s="25">
        <f t="shared" si="8"/>
        <v>5.997918455789935</v>
      </c>
      <c r="F40" s="25">
        <f t="shared" si="8"/>
        <v>7.6868846481098831</v>
      </c>
      <c r="G40" s="25">
        <f t="shared" si="8"/>
        <v>7.4748827863362353</v>
      </c>
      <c r="H40" s="25">
        <f>IFERROR(H34/H39,0)</f>
        <v>0</v>
      </c>
      <c r="I40" s="25">
        <f>IFERROR(I34/I39,0)</f>
        <v>0</v>
      </c>
      <c r="J40" s="25">
        <f>IFERROR(J34/J39,0)</f>
        <v>0</v>
      </c>
    </row>
    <row r="41" spans="1:14" ht="15.75" outlineLevel="1" x14ac:dyDescent="0.3">
      <c r="A41" s="21" t="s">
        <v>212</v>
      </c>
      <c r="B41" s="22">
        <f>Forutsetninger!$D2/Vegtrans1!B40</f>
        <v>37.008697002896803</v>
      </c>
      <c r="C41" s="22">
        <f>Forutsetninger!$D2/Vegtrans1!C40</f>
        <v>51.684018888319969</v>
      </c>
      <c r="D41" s="22">
        <f>Forutsetninger!$D2/Vegtrans1!D40</f>
        <v>36.936424785887148</v>
      </c>
      <c r="E41" s="22">
        <f>Forutsetninger!$D2/Vegtrans1!E40</f>
        <v>33.344901481102198</v>
      </c>
      <c r="F41" s="22">
        <f>Forutsetninger!$D2/Vegtrans1!F40</f>
        <v>26.018342820999365</v>
      </c>
      <c r="G41" s="22">
        <f>Forutsetninger!$D2/Vegtrans1!G40</f>
        <v>26.756272401433694</v>
      </c>
      <c r="H41" s="22">
        <f>IFERROR(Forutsetninger!$D2/Vegtrans1!H40,0)</f>
        <v>0</v>
      </c>
      <c r="I41" s="22">
        <f>IFERROR(Forutsetninger!$D2/Vegtrans1!I40,0)</f>
        <v>0</v>
      </c>
      <c r="J41" s="22">
        <f>IFERROR(Forutsetninger!$D2/Vegtrans1!J40,0)</f>
        <v>0</v>
      </c>
    </row>
    <row r="42" spans="1:14" outlineLevel="1" x14ac:dyDescent="0.25">
      <c r="A42" s="21" t="s">
        <v>215</v>
      </c>
      <c r="B42" s="22">
        <f>IFERROR(B36/B39,0)</f>
        <v>286.52629839903381</v>
      </c>
      <c r="C42" s="22">
        <f t="shared" ref="C42:J42" si="9">IFERROR(C36/C39,0)</f>
        <v>353.18399471627492</v>
      </c>
      <c r="D42" s="22">
        <f t="shared" si="9"/>
        <v>380.15357801708768</v>
      </c>
      <c r="E42" s="22">
        <f t="shared" si="9"/>
        <v>364.95271027293256</v>
      </c>
      <c r="F42" s="22">
        <f t="shared" si="9"/>
        <v>433.32928163364534</v>
      </c>
      <c r="G42" s="22">
        <f t="shared" si="9"/>
        <v>434.14723253973091</v>
      </c>
      <c r="H42" s="22">
        <f t="shared" si="9"/>
        <v>0</v>
      </c>
      <c r="I42" s="22">
        <f t="shared" si="9"/>
        <v>0</v>
      </c>
      <c r="J42" s="22">
        <f t="shared" si="9"/>
        <v>0</v>
      </c>
    </row>
    <row r="43" spans="1:14" outlineLevel="1" x14ac:dyDescent="0.25">
      <c r="A43" s="21" t="s">
        <v>86</v>
      </c>
      <c r="B43" s="22">
        <f t="shared" ref="B43:G43" si="10">B36/B41</f>
        <v>46.610665592062809</v>
      </c>
      <c r="C43" s="22">
        <f t="shared" si="10"/>
        <v>33.37588750068798</v>
      </c>
      <c r="D43" s="22">
        <f t="shared" si="10"/>
        <v>46.70186705939922</v>
      </c>
      <c r="E43" s="22">
        <f t="shared" si="10"/>
        <v>51.732046681188187</v>
      </c>
      <c r="F43" s="22">
        <f t="shared" si="10"/>
        <v>66.299380089947746</v>
      </c>
      <c r="G43" s="22">
        <f t="shared" si="10"/>
        <v>64.470864032150033</v>
      </c>
      <c r="H43" s="22">
        <f>IFERROR(H36/H41,0)</f>
        <v>0</v>
      </c>
      <c r="I43" s="22">
        <f>IFERROR(I36/I41,0)</f>
        <v>0</v>
      </c>
      <c r="J43" s="22">
        <f>IFERROR(J36/J41,0)</f>
        <v>0</v>
      </c>
    </row>
    <row r="44" spans="1:14" outlineLevel="1" x14ac:dyDescent="0.25">
      <c r="A44" s="21" t="s">
        <v>81</v>
      </c>
      <c r="B44" s="22">
        <f>B43*Forutsetninger!$D2</f>
        <v>9322.1331184125611</v>
      </c>
      <c r="C44" s="22">
        <f>C43*Forutsetninger!$D2</f>
        <v>6675.1775001375963</v>
      </c>
      <c r="D44" s="22">
        <f>D43*Forutsetninger!$D2</f>
        <v>9340.3734118798438</v>
      </c>
      <c r="E44" s="22">
        <f>E43*Forutsetninger!$D2</f>
        <v>10346.409336237637</v>
      </c>
      <c r="F44" s="22">
        <f>F43*Forutsetninger!$D2</f>
        <v>13259.876017989549</v>
      </c>
      <c r="G44" s="22">
        <f>G43*Forutsetninger!$D2</f>
        <v>12894.172806430006</v>
      </c>
      <c r="H44" s="22">
        <f>H43*Forutsetninger!$D2</f>
        <v>0</v>
      </c>
      <c r="I44" s="22">
        <f>I43*Forutsetninger!$D2</f>
        <v>0</v>
      </c>
      <c r="J44" s="22">
        <f>J43*Forutsetninger!$D2</f>
        <v>0</v>
      </c>
    </row>
    <row r="45" spans="1:14" outlineLevel="1" x14ac:dyDescent="0.25">
      <c r="A45" s="21" t="s">
        <v>347</v>
      </c>
      <c r="B45" s="22">
        <f>IFERROR(B44*B9/(1-B8),0)</f>
        <v>6214.7554122750416</v>
      </c>
      <c r="C45" s="22">
        <f t="shared" ref="C45:J45" si="11">IFERROR(C44*C9/(1-C8),0)</f>
        <v>4450.1183334250654</v>
      </c>
      <c r="D45" s="22">
        <f t="shared" si="11"/>
        <v>6226.9156079198965</v>
      </c>
      <c r="E45" s="22">
        <f t="shared" si="11"/>
        <v>6897.606224158425</v>
      </c>
      <c r="F45" s="22">
        <f t="shared" si="11"/>
        <v>8839.9173453263666</v>
      </c>
      <c r="G45" s="22">
        <f t="shared" si="11"/>
        <v>8596.1152042866706</v>
      </c>
      <c r="H45" s="22">
        <f t="shared" si="11"/>
        <v>0</v>
      </c>
      <c r="I45" s="22">
        <f t="shared" si="11"/>
        <v>0</v>
      </c>
      <c r="J45" s="22">
        <f t="shared" si="11"/>
        <v>0</v>
      </c>
    </row>
    <row r="47" spans="1:14" ht="18" thickBot="1" x14ac:dyDescent="0.35">
      <c r="A47" s="20" t="s">
        <v>75</v>
      </c>
      <c r="B47" s="27">
        <f t="shared" ref="B47:G47" si="12">B51</f>
        <v>1111551.6085569425</v>
      </c>
      <c r="C47" s="27">
        <f t="shared" si="12"/>
        <v>1154241.5625515988</v>
      </c>
      <c r="D47" s="27">
        <f t="shared" si="12"/>
        <v>1177118.0647297811</v>
      </c>
      <c r="E47" s="27">
        <f t="shared" si="12"/>
        <v>1167986.5111954093</v>
      </c>
      <c r="F47" s="27">
        <f t="shared" si="12"/>
        <v>1220220.3111705363</v>
      </c>
      <c r="G47" s="27">
        <f t="shared" si="12"/>
        <v>1220244.3219874566</v>
      </c>
      <c r="H47" s="27">
        <f>H51</f>
        <v>0</v>
      </c>
      <c r="I47" s="27">
        <f>I51</f>
        <v>0</v>
      </c>
      <c r="J47" s="27">
        <f>J51</f>
        <v>0</v>
      </c>
    </row>
    <row r="48" spans="1:14" ht="15.75" outlineLevel="1" thickTop="1" x14ac:dyDescent="0.25">
      <c r="A48" s="28" t="s">
        <v>213</v>
      </c>
      <c r="B48" s="22">
        <f t="shared" ref="B48:J48" si="13">B41*B43*B17</f>
        <v>897000</v>
      </c>
      <c r="C48" s="22">
        <f t="shared" si="13"/>
        <v>897000</v>
      </c>
      <c r="D48" s="22">
        <f t="shared" si="13"/>
        <v>896999.99999999988</v>
      </c>
      <c r="E48" s="22">
        <f t="shared" si="13"/>
        <v>897000</v>
      </c>
      <c r="F48" s="22">
        <f t="shared" si="13"/>
        <v>897000.00000000012</v>
      </c>
      <c r="G48" s="22">
        <f t="shared" si="13"/>
        <v>897000.00000000012</v>
      </c>
      <c r="H48" s="22">
        <f t="shared" si="13"/>
        <v>0</v>
      </c>
      <c r="I48" s="22">
        <f t="shared" si="13"/>
        <v>0</v>
      </c>
      <c r="J48" s="22">
        <f t="shared" si="13"/>
        <v>0</v>
      </c>
    </row>
    <row r="49" spans="1:11" outlineLevel="1" x14ac:dyDescent="0.25">
      <c r="A49" s="28" t="s">
        <v>214</v>
      </c>
      <c r="B49" s="22">
        <f>Forutsetninger!$D6*2*Vegtrans1!B42*Vegtrans1!B18</f>
        <v>200568.40887932366</v>
      </c>
      <c r="C49" s="22">
        <f>Forutsetninger!$D6*2*Vegtrans1!C42*Vegtrans1!C18</f>
        <v>247228.79630139243</v>
      </c>
      <c r="D49" s="22">
        <f>Forutsetninger!$D6*2*Vegtrans1!D42*Vegtrans1!D18</f>
        <v>266107.50461196143</v>
      </c>
      <c r="E49" s="22">
        <f>Forutsetninger!$D6*2*Vegtrans1!E42*Vegtrans1!E18</f>
        <v>255466.89719105282</v>
      </c>
      <c r="F49" s="22">
        <f>Forutsetninger!$D6*2*Vegtrans1!F42*Vegtrans1!F18</f>
        <v>303330.49714355177</v>
      </c>
      <c r="G49" s="22">
        <f>Forutsetninger!$D6*2*Vegtrans1!G42*Vegtrans1!G18</f>
        <v>303903.06277781166</v>
      </c>
      <c r="H49" s="22">
        <f>Forutsetninger!$D6*2*Vegtrans1!H42*Vegtrans1!H18</f>
        <v>0</v>
      </c>
      <c r="I49" s="22">
        <f>Forutsetninger!$D6*2*Vegtrans1!I42*Vegtrans1!I18</f>
        <v>0</v>
      </c>
      <c r="J49" s="22">
        <f>Forutsetninger!$D6*2*Vegtrans1!J42*Vegtrans1!J18</f>
        <v>0</v>
      </c>
    </row>
    <row r="50" spans="1:11" x14ac:dyDescent="0.25">
      <c r="A50" t="s">
        <v>92</v>
      </c>
      <c r="B50" s="22">
        <f t="shared" ref="B50:J50" si="14">B19*B43</f>
        <v>13983.199677618843</v>
      </c>
      <c r="C50" s="22">
        <f t="shared" si="14"/>
        <v>10012.766250206394</v>
      </c>
      <c r="D50" s="22">
        <f t="shared" si="14"/>
        <v>14010.560117819767</v>
      </c>
      <c r="E50" s="22">
        <f t="shared" si="14"/>
        <v>15519.614004356456</v>
      </c>
      <c r="F50" s="22">
        <f t="shared" si="14"/>
        <v>19889.814026984324</v>
      </c>
      <c r="G50" s="22">
        <f t="shared" si="14"/>
        <v>19341.25920964501</v>
      </c>
      <c r="H50" s="22">
        <f t="shared" si="14"/>
        <v>0</v>
      </c>
      <c r="I50" s="22">
        <f t="shared" si="14"/>
        <v>0</v>
      </c>
      <c r="J50" s="22">
        <f t="shared" si="14"/>
        <v>0</v>
      </c>
    </row>
    <row r="51" spans="1:11" ht="15.75" outlineLevel="1" thickBot="1" x14ac:dyDescent="0.3">
      <c r="A51" s="32" t="s">
        <v>100</v>
      </c>
      <c r="B51" s="33">
        <f t="shared" ref="B51:G51" si="15">SUM(B48:B50)</f>
        <v>1111551.6085569425</v>
      </c>
      <c r="C51" s="33">
        <f t="shared" si="15"/>
        <v>1154241.5625515988</v>
      </c>
      <c r="D51" s="33">
        <f t="shared" si="15"/>
        <v>1177118.0647297811</v>
      </c>
      <c r="E51" s="33">
        <f t="shared" si="15"/>
        <v>1167986.5111954093</v>
      </c>
      <c r="F51" s="33">
        <f t="shared" si="15"/>
        <v>1220220.3111705363</v>
      </c>
      <c r="G51" s="33">
        <f t="shared" si="15"/>
        <v>1220244.3219874566</v>
      </c>
      <c r="H51" s="33">
        <f>SUM(H48:H50)</f>
        <v>0</v>
      </c>
      <c r="I51" s="33">
        <f>SUM(I48:I50)</f>
        <v>0</v>
      </c>
      <c r="J51" s="33">
        <f>SUM(J48:J50)</f>
        <v>0</v>
      </c>
    </row>
    <row r="52" spans="1:11" x14ac:dyDescent="0.25">
      <c r="A52" s="26"/>
      <c r="B52" s="22"/>
      <c r="C52" s="22"/>
      <c r="D52" s="22"/>
      <c r="E52" s="22"/>
      <c r="F52" s="22"/>
      <c r="G52" s="22"/>
      <c r="H52" s="22"/>
      <c r="I52" s="22"/>
      <c r="J52" s="22"/>
    </row>
    <row r="53" spans="1:11" ht="19.5" thickBot="1" x14ac:dyDescent="0.4">
      <c r="A53" s="20" t="s">
        <v>95</v>
      </c>
      <c r="B53" s="27">
        <f t="shared" ref="B53:G53" si="16">B57</f>
        <v>644.3777440909812</v>
      </c>
      <c r="C53" s="27">
        <f t="shared" si="16"/>
        <v>669.12554350817322</v>
      </c>
      <c r="D53" s="27">
        <f t="shared" si="16"/>
        <v>682.38728390132235</v>
      </c>
      <c r="E53" s="27">
        <f t="shared" si="16"/>
        <v>677.09362967849813</v>
      </c>
      <c r="F53" s="27">
        <f t="shared" si="16"/>
        <v>707.37409343219497</v>
      </c>
      <c r="G53" s="27">
        <f t="shared" si="16"/>
        <v>707.38801274635171</v>
      </c>
      <c r="H53" s="27">
        <f>H57</f>
        <v>0</v>
      </c>
      <c r="I53" s="27">
        <f>I57</f>
        <v>0</v>
      </c>
      <c r="J53" s="27">
        <f>J57</f>
        <v>0</v>
      </c>
    </row>
    <row r="54" spans="1:11" ht="15.75" outlineLevel="1" thickTop="1" x14ac:dyDescent="0.25">
      <c r="A54" s="28" t="s">
        <v>213</v>
      </c>
      <c r="B54" s="22">
        <f t="shared" ref="B54:G54" si="17">B48/B$36</f>
        <v>520</v>
      </c>
      <c r="C54" s="22">
        <f t="shared" si="17"/>
        <v>520</v>
      </c>
      <c r="D54" s="22">
        <f t="shared" si="17"/>
        <v>519.99999999999989</v>
      </c>
      <c r="E54" s="22">
        <f t="shared" si="17"/>
        <v>520</v>
      </c>
      <c r="F54" s="22">
        <f t="shared" si="17"/>
        <v>520.00000000000011</v>
      </c>
      <c r="G54" s="22">
        <f t="shared" si="17"/>
        <v>520.00000000000011</v>
      </c>
      <c r="H54" s="22">
        <f t="shared" ref="H54:J56" si="18">IFERROR(H48/H$36,0)</f>
        <v>0</v>
      </c>
      <c r="I54" s="22">
        <f t="shared" si="18"/>
        <v>0</v>
      </c>
      <c r="J54" s="22">
        <f t="shared" si="18"/>
        <v>0</v>
      </c>
    </row>
    <row r="55" spans="1:11" outlineLevel="1" x14ac:dyDescent="0.25">
      <c r="A55" s="28" t="s">
        <v>214</v>
      </c>
      <c r="B55" s="22">
        <f t="shared" ref="B55:G55" si="19">B49/B$36</f>
        <v>116.27154137931807</v>
      </c>
      <c r="C55" s="22">
        <f t="shared" si="19"/>
        <v>143.32104133414055</v>
      </c>
      <c r="D55" s="22">
        <f t="shared" si="19"/>
        <v>154.26522006490518</v>
      </c>
      <c r="E55" s="22">
        <f t="shared" si="19"/>
        <v>148.09675199481322</v>
      </c>
      <c r="F55" s="22">
        <f t="shared" si="19"/>
        <v>175.84376646003</v>
      </c>
      <c r="G55" s="22">
        <f t="shared" si="19"/>
        <v>176.17568856684733</v>
      </c>
      <c r="H55" s="22">
        <f t="shared" si="18"/>
        <v>0</v>
      </c>
      <c r="I55" s="22">
        <f t="shared" si="18"/>
        <v>0</v>
      </c>
      <c r="J55" s="22">
        <f t="shared" si="18"/>
        <v>0</v>
      </c>
    </row>
    <row r="56" spans="1:11" x14ac:dyDescent="0.25">
      <c r="A56" t="s">
        <v>92</v>
      </c>
      <c r="B56" s="22">
        <f t="shared" ref="B56:G56" si="20">B50/B$36</f>
        <v>8.1062027116630979</v>
      </c>
      <c r="C56" s="22">
        <f t="shared" si="20"/>
        <v>5.8045021740326925</v>
      </c>
      <c r="D56" s="22">
        <f t="shared" si="20"/>
        <v>8.1220638364172562</v>
      </c>
      <c r="E56" s="22">
        <f t="shared" si="20"/>
        <v>8.996877683684902</v>
      </c>
      <c r="F56" s="22">
        <f t="shared" si="20"/>
        <v>11.530326972164826</v>
      </c>
      <c r="G56" s="22">
        <f t="shared" si="20"/>
        <v>11.212324179504353</v>
      </c>
      <c r="H56" s="22">
        <f t="shared" si="18"/>
        <v>0</v>
      </c>
      <c r="I56" s="22">
        <f t="shared" si="18"/>
        <v>0</v>
      </c>
      <c r="J56" s="22">
        <f t="shared" si="18"/>
        <v>0</v>
      </c>
    </row>
    <row r="57" spans="1:11" ht="15.75" outlineLevel="1" thickBot="1" x14ac:dyDescent="0.3">
      <c r="A57" s="32" t="s">
        <v>101</v>
      </c>
      <c r="B57" s="33">
        <f t="shared" ref="B57:G57" si="21">B51/B36</f>
        <v>644.3777440909812</v>
      </c>
      <c r="C57" s="33">
        <f t="shared" si="21"/>
        <v>669.12554350817322</v>
      </c>
      <c r="D57" s="33">
        <f t="shared" si="21"/>
        <v>682.38728390132235</v>
      </c>
      <c r="E57" s="33">
        <f t="shared" si="21"/>
        <v>677.09362967849813</v>
      </c>
      <c r="F57" s="33">
        <f t="shared" si="21"/>
        <v>707.37409343219497</v>
      </c>
      <c r="G57" s="33">
        <f t="shared" si="21"/>
        <v>707.38801274635171</v>
      </c>
      <c r="H57" s="33">
        <f>IFERROR(H51/H36,0)</f>
        <v>0</v>
      </c>
      <c r="I57" s="33">
        <f>IFERROR(I51/I36,0)</f>
        <v>0</v>
      </c>
      <c r="J57" s="33">
        <f>IFERROR(J51/J36,0)</f>
        <v>0</v>
      </c>
    </row>
    <row r="58" spans="1:11" ht="15.75" x14ac:dyDescent="0.25">
      <c r="A58" s="35"/>
      <c r="B58" s="22"/>
      <c r="C58" s="22"/>
      <c r="D58" s="22"/>
      <c r="E58" s="22"/>
      <c r="F58" s="22"/>
      <c r="G58" s="22"/>
      <c r="H58" s="22"/>
      <c r="I58" s="22"/>
      <c r="J58" s="22"/>
    </row>
    <row r="59" spans="1:11" ht="19.5" thickBot="1" x14ac:dyDescent="0.35">
      <c r="A59" s="20" t="s">
        <v>102</v>
      </c>
      <c r="B59" s="27">
        <f t="shared" ref="B59:G59" si="22">B63</f>
        <v>119.23790343236649</v>
      </c>
      <c r="C59" s="27">
        <f t="shared" si="22"/>
        <v>172.91548614666894</v>
      </c>
      <c r="D59" s="27">
        <f t="shared" si="22"/>
        <v>126.02473293333509</v>
      </c>
      <c r="E59" s="27">
        <f t="shared" si="22"/>
        <v>112.88810187555708</v>
      </c>
      <c r="F59" s="27">
        <f t="shared" si="22"/>
        <v>92.02350832806242</v>
      </c>
      <c r="G59" s="27">
        <f t="shared" si="22"/>
        <v>94.635331812751176</v>
      </c>
      <c r="H59" s="27">
        <f>H63</f>
        <v>0</v>
      </c>
      <c r="I59" s="27">
        <f>I63</f>
        <v>0</v>
      </c>
      <c r="J59" s="27">
        <f>J63</f>
        <v>0</v>
      </c>
      <c r="K59" s="27">
        <f>K63</f>
        <v>0</v>
      </c>
    </row>
    <row r="60" spans="1:11" ht="15.75" outlineLevel="1" thickTop="1" x14ac:dyDescent="0.25">
      <c r="A60" s="28" t="s">
        <v>213</v>
      </c>
      <c r="B60" s="22">
        <f t="shared" ref="B60:G62" si="23">B48/B$44</f>
        <v>96.222612207531697</v>
      </c>
      <c r="C60" s="22">
        <f t="shared" si="23"/>
        <v>134.37844910963193</v>
      </c>
      <c r="D60" s="22">
        <f t="shared" si="23"/>
        <v>96.03470444330658</v>
      </c>
      <c r="E60" s="22">
        <f t="shared" si="23"/>
        <v>86.696743850865715</v>
      </c>
      <c r="F60" s="22">
        <f t="shared" si="23"/>
        <v>67.647691334598349</v>
      </c>
      <c r="G60" s="22">
        <f t="shared" si="23"/>
        <v>69.566308243727605</v>
      </c>
      <c r="H60" s="22">
        <f t="shared" ref="H60:J63" si="24">IFERROR(H48/H$44,0)</f>
        <v>0</v>
      </c>
      <c r="I60" s="22">
        <f t="shared" si="24"/>
        <v>0</v>
      </c>
      <c r="J60" s="22">
        <f t="shared" si="24"/>
        <v>0</v>
      </c>
    </row>
    <row r="61" spans="1:11" outlineLevel="1" x14ac:dyDescent="0.25">
      <c r="A61" s="28" t="s">
        <v>214</v>
      </c>
      <c r="B61" s="22">
        <f t="shared" si="23"/>
        <v>21.515291224834801</v>
      </c>
      <c r="C61" s="22">
        <f t="shared" si="23"/>
        <v>37.037037037037031</v>
      </c>
      <c r="D61" s="22">
        <f t="shared" si="23"/>
        <v>28.490028490028497</v>
      </c>
      <c r="E61" s="22">
        <f t="shared" si="23"/>
        <v>24.691358024691365</v>
      </c>
      <c r="F61" s="22">
        <f t="shared" si="23"/>
        <v>22.875816993464053</v>
      </c>
      <c r="G61" s="22">
        <f t="shared" si="23"/>
        <v>23.569023569023575</v>
      </c>
      <c r="H61" s="22">
        <f t="shared" si="24"/>
        <v>0</v>
      </c>
      <c r="I61" s="22">
        <f t="shared" si="24"/>
        <v>0</v>
      </c>
      <c r="J61" s="22">
        <f t="shared" si="24"/>
        <v>0</v>
      </c>
    </row>
    <row r="62" spans="1:11" x14ac:dyDescent="0.25">
      <c r="A62" t="s">
        <v>92</v>
      </c>
      <c r="B62" s="22">
        <f t="shared" si="23"/>
        <v>1.5</v>
      </c>
      <c r="C62" s="22">
        <f t="shared" si="23"/>
        <v>1.5</v>
      </c>
      <c r="D62" s="22">
        <f t="shared" si="23"/>
        <v>1.5</v>
      </c>
      <c r="E62" s="22">
        <f t="shared" si="23"/>
        <v>1.5</v>
      </c>
      <c r="F62" s="22">
        <f t="shared" si="23"/>
        <v>1.5</v>
      </c>
      <c r="G62" s="22">
        <f t="shared" si="23"/>
        <v>1.5</v>
      </c>
      <c r="H62" s="22">
        <f t="shared" si="24"/>
        <v>0</v>
      </c>
      <c r="I62" s="22">
        <f t="shared" si="24"/>
        <v>0</v>
      </c>
      <c r="J62" s="22">
        <f t="shared" si="24"/>
        <v>0</v>
      </c>
    </row>
    <row r="63" spans="1:11" ht="15.75" outlineLevel="1" thickBot="1" x14ac:dyDescent="0.3">
      <c r="A63" s="32" t="s">
        <v>103</v>
      </c>
      <c r="B63" s="33">
        <f t="shared" ref="B63:G63" si="25">B51/B$44</f>
        <v>119.23790343236649</v>
      </c>
      <c r="C63" s="33">
        <f t="shared" si="25"/>
        <v>172.91548614666894</v>
      </c>
      <c r="D63" s="33">
        <f t="shared" si="25"/>
        <v>126.02473293333509</v>
      </c>
      <c r="E63" s="33">
        <f t="shared" si="25"/>
        <v>112.88810187555708</v>
      </c>
      <c r="F63" s="33">
        <f t="shared" si="25"/>
        <v>92.02350832806242</v>
      </c>
      <c r="G63" s="33">
        <f t="shared" si="25"/>
        <v>94.635331812751176</v>
      </c>
      <c r="H63" s="33">
        <f t="shared" si="24"/>
        <v>0</v>
      </c>
      <c r="I63" s="33">
        <f t="shared" si="24"/>
        <v>0</v>
      </c>
      <c r="J63" s="33">
        <f t="shared" si="24"/>
        <v>0</v>
      </c>
      <c r="K63" s="33">
        <v>0</v>
      </c>
    </row>
    <row r="65" spans="1:10" ht="18" thickBot="1" x14ac:dyDescent="0.35">
      <c r="A65" s="2" t="s">
        <v>110</v>
      </c>
      <c r="B65" s="2"/>
      <c r="C65" s="2"/>
      <c r="D65" s="2"/>
      <c r="E65" s="2"/>
      <c r="F65" s="2"/>
      <c r="G65" s="2"/>
      <c r="H65" s="2"/>
      <c r="I65" s="2"/>
      <c r="J65" s="2"/>
    </row>
    <row r="66" spans="1:10" ht="15.75" thickTop="1" x14ac:dyDescent="0.25"/>
    <row r="70" spans="1:10" x14ac:dyDescent="0.25">
      <c r="A70" s="1"/>
      <c r="B70" s="44"/>
      <c r="C70" s="44"/>
      <c r="D70" s="44"/>
      <c r="E70" s="44"/>
      <c r="F70" s="44"/>
      <c r="G70" s="44"/>
      <c r="H70" s="44"/>
      <c r="I70" s="44"/>
      <c r="J70" s="44"/>
    </row>
  </sheetData>
  <conditionalFormatting sqref="B31:J47">
    <cfRule type="cellIs" dxfId="7" priority="5" operator="lessThan">
      <formula>0.1</formula>
    </cfRule>
  </conditionalFormatting>
  <conditionalFormatting sqref="B48:J63">
    <cfRule type="cellIs" dxfId="6" priority="4" operator="lessThan">
      <formula>0.1</formula>
    </cfRule>
  </conditionalFormatting>
  <conditionalFormatting sqref="H25:J25">
    <cfRule type="cellIs" dxfId="5" priority="3" operator="lessThan">
      <formula>0.1</formula>
    </cfRule>
  </conditionalFormatting>
  <conditionalFormatting sqref="H7:J9">
    <cfRule type="cellIs" dxfId="4" priority="1" operator="lessThan">
      <formula>0.1</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7221" r:id="rId4" name="ComboBox1">
          <controlPr defaultSize="0" autoFill="0" autoLine="0" linkedCell="B2" listFillRange="VT1_virkesform" r:id="rId5">
            <anchor moveWithCells="1">
              <from>
                <xdr:col>1</xdr:col>
                <xdr:colOff>19050</xdr:colOff>
                <xdr:row>1</xdr:row>
                <xdr:rowOff>28575</xdr:rowOff>
              </from>
              <to>
                <xdr:col>1</xdr:col>
                <xdr:colOff>1276350</xdr:colOff>
                <xdr:row>1</xdr:row>
                <xdr:rowOff>228600</xdr:rowOff>
              </to>
            </anchor>
          </controlPr>
        </control>
      </mc:Choice>
      <mc:Fallback>
        <control shapeId="7221" r:id="rId4" name="ComboBox1"/>
      </mc:Fallback>
    </mc:AlternateContent>
    <mc:AlternateContent xmlns:mc="http://schemas.openxmlformats.org/markup-compatibility/2006">
      <mc:Choice Requires="x14">
        <control shapeId="7223" r:id="rId6" name="ComboBox2">
          <controlPr defaultSize="0" autoFill="0" autoLine="0" linkedCell="C2" listFillRange="VT1_virkesform" r:id="rId7">
            <anchor moveWithCells="1">
              <from>
                <xdr:col>2</xdr:col>
                <xdr:colOff>28575</xdr:colOff>
                <xdr:row>1</xdr:row>
                <xdr:rowOff>28575</xdr:rowOff>
              </from>
              <to>
                <xdr:col>2</xdr:col>
                <xdr:colOff>1285875</xdr:colOff>
                <xdr:row>1</xdr:row>
                <xdr:rowOff>228600</xdr:rowOff>
              </to>
            </anchor>
          </controlPr>
        </control>
      </mc:Choice>
      <mc:Fallback>
        <control shapeId="7223" r:id="rId6" name="ComboBox2"/>
      </mc:Fallback>
    </mc:AlternateContent>
    <mc:AlternateContent xmlns:mc="http://schemas.openxmlformats.org/markup-compatibility/2006">
      <mc:Choice Requires="x14">
        <control shapeId="7224" r:id="rId8" name="ComboBox3">
          <controlPr defaultSize="0" autoFill="0" autoLine="0" linkedCell="D2" listFillRange="VT1_virkesform" r:id="rId9">
            <anchor moveWithCells="1">
              <from>
                <xdr:col>3</xdr:col>
                <xdr:colOff>19050</xdr:colOff>
                <xdr:row>1</xdr:row>
                <xdr:rowOff>28575</xdr:rowOff>
              </from>
              <to>
                <xdr:col>3</xdr:col>
                <xdr:colOff>1276350</xdr:colOff>
                <xdr:row>1</xdr:row>
                <xdr:rowOff>228600</xdr:rowOff>
              </to>
            </anchor>
          </controlPr>
        </control>
      </mc:Choice>
      <mc:Fallback>
        <control shapeId="7224" r:id="rId8" name="ComboBox3"/>
      </mc:Fallback>
    </mc:AlternateContent>
    <mc:AlternateContent xmlns:mc="http://schemas.openxmlformats.org/markup-compatibility/2006">
      <mc:Choice Requires="x14">
        <control shapeId="7225" r:id="rId10" name="ComboBox4">
          <controlPr defaultSize="0" autoFill="0" autoLine="0" linkedCell="E2" listFillRange="VT1_virkesform" r:id="rId11">
            <anchor moveWithCells="1">
              <from>
                <xdr:col>4</xdr:col>
                <xdr:colOff>19050</xdr:colOff>
                <xdr:row>1</xdr:row>
                <xdr:rowOff>28575</xdr:rowOff>
              </from>
              <to>
                <xdr:col>4</xdr:col>
                <xdr:colOff>1095375</xdr:colOff>
                <xdr:row>1</xdr:row>
                <xdr:rowOff>209550</xdr:rowOff>
              </to>
            </anchor>
          </controlPr>
        </control>
      </mc:Choice>
      <mc:Fallback>
        <control shapeId="7225" r:id="rId10" name="ComboBox4"/>
      </mc:Fallback>
    </mc:AlternateContent>
    <mc:AlternateContent xmlns:mc="http://schemas.openxmlformats.org/markup-compatibility/2006">
      <mc:Choice Requires="x14">
        <control shapeId="7226" r:id="rId12" name="ComboBox5">
          <controlPr defaultSize="0" autoFill="0" autoLine="0" linkedCell="F2" listFillRange="VT1_virkesform" r:id="rId13">
            <anchor moveWithCells="1">
              <from>
                <xdr:col>5</xdr:col>
                <xdr:colOff>9525</xdr:colOff>
                <xdr:row>1</xdr:row>
                <xdr:rowOff>47625</xdr:rowOff>
              </from>
              <to>
                <xdr:col>5</xdr:col>
                <xdr:colOff>1019175</xdr:colOff>
                <xdr:row>1</xdr:row>
                <xdr:rowOff>219075</xdr:rowOff>
              </to>
            </anchor>
          </controlPr>
        </control>
      </mc:Choice>
      <mc:Fallback>
        <control shapeId="7226" r:id="rId12" name="ComboBox5"/>
      </mc:Fallback>
    </mc:AlternateContent>
    <mc:AlternateContent xmlns:mc="http://schemas.openxmlformats.org/markup-compatibility/2006">
      <mc:Choice Requires="x14">
        <control shapeId="7227" r:id="rId14" name="ComboBox6">
          <controlPr defaultSize="0" autoFill="0" autoLine="0" linkedCell="G2" listFillRange="VT1_virkesform" r:id="rId15">
            <anchor moveWithCells="1">
              <from>
                <xdr:col>6</xdr:col>
                <xdr:colOff>28575</xdr:colOff>
                <xdr:row>1</xdr:row>
                <xdr:rowOff>28575</xdr:rowOff>
              </from>
              <to>
                <xdr:col>6</xdr:col>
                <xdr:colOff>933450</xdr:colOff>
                <xdr:row>1</xdr:row>
                <xdr:rowOff>219075</xdr:rowOff>
              </to>
            </anchor>
          </controlPr>
        </control>
      </mc:Choice>
      <mc:Fallback>
        <control shapeId="7227" r:id="rId14" name="ComboBox6"/>
      </mc:Fallback>
    </mc:AlternateContent>
    <mc:AlternateContent xmlns:mc="http://schemas.openxmlformats.org/markup-compatibility/2006">
      <mc:Choice Requires="x14">
        <control shapeId="7228" r:id="rId16" name="ComboBox7">
          <controlPr defaultSize="0" autoFill="0" autoLine="0" linkedCell="H2" listFillRange="VT1_virkesform" r:id="rId17">
            <anchor moveWithCells="1">
              <from>
                <xdr:col>7</xdr:col>
                <xdr:colOff>28575</xdr:colOff>
                <xdr:row>1</xdr:row>
                <xdr:rowOff>28575</xdr:rowOff>
              </from>
              <to>
                <xdr:col>8</xdr:col>
                <xdr:colOff>0</xdr:colOff>
                <xdr:row>1</xdr:row>
                <xdr:rowOff>228600</xdr:rowOff>
              </to>
            </anchor>
          </controlPr>
        </control>
      </mc:Choice>
      <mc:Fallback>
        <control shapeId="7228" r:id="rId16" name="ComboBox7"/>
      </mc:Fallback>
    </mc:AlternateContent>
    <mc:AlternateContent xmlns:mc="http://schemas.openxmlformats.org/markup-compatibility/2006">
      <mc:Choice Requires="x14">
        <control shapeId="7229" r:id="rId18" name="ComboBox8">
          <controlPr defaultSize="0" autoFill="0" autoLine="0" linkedCell="I2" listFillRange="VT1_virkesform" r:id="rId19">
            <anchor moveWithCells="1">
              <from>
                <xdr:col>8</xdr:col>
                <xdr:colOff>28575</xdr:colOff>
                <xdr:row>1</xdr:row>
                <xdr:rowOff>38100</xdr:rowOff>
              </from>
              <to>
                <xdr:col>9</xdr:col>
                <xdr:colOff>9525</xdr:colOff>
                <xdr:row>1</xdr:row>
                <xdr:rowOff>228600</xdr:rowOff>
              </to>
            </anchor>
          </controlPr>
        </control>
      </mc:Choice>
      <mc:Fallback>
        <control shapeId="7229" r:id="rId18" name="ComboBox8"/>
      </mc:Fallback>
    </mc:AlternateContent>
    <mc:AlternateContent xmlns:mc="http://schemas.openxmlformats.org/markup-compatibility/2006">
      <mc:Choice Requires="x14">
        <control shapeId="7230" r:id="rId20" name="ComboBox9">
          <controlPr defaultSize="0" autoFill="0" autoLine="0" linkedCell="J2" listFillRange="VT1_virkesform" r:id="rId21">
            <anchor moveWithCells="1">
              <from>
                <xdr:col>9</xdr:col>
                <xdr:colOff>28575</xdr:colOff>
                <xdr:row>1</xdr:row>
                <xdr:rowOff>28575</xdr:rowOff>
              </from>
              <to>
                <xdr:col>10</xdr:col>
                <xdr:colOff>0</xdr:colOff>
                <xdr:row>2</xdr:row>
                <xdr:rowOff>0</xdr:rowOff>
              </to>
            </anchor>
          </controlPr>
        </control>
      </mc:Choice>
      <mc:Fallback>
        <control shapeId="7230" r:id="rId20" name="ComboBox9"/>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9"/>
  <dimension ref="A1:Z135"/>
  <sheetViews>
    <sheetView workbookViewId="0">
      <pane xSplit="1" ySplit="7" topLeftCell="B107" activePane="bottomRight" state="frozen"/>
      <selection pane="topRight" activeCell="B1" sqref="B1"/>
      <selection pane="bottomLeft" activeCell="A8" sqref="A8"/>
      <selection pane="bottomRight" activeCell="D113" sqref="D113"/>
    </sheetView>
  </sheetViews>
  <sheetFormatPr baseColWidth="10" defaultRowHeight="15" outlineLevelRow="1" x14ac:dyDescent="0.25"/>
  <cols>
    <col min="1" max="1" width="37" customWidth="1"/>
    <col min="2" max="2" width="18.42578125" style="26" customWidth="1"/>
    <col min="3" max="3" width="15.28515625" customWidth="1"/>
    <col min="4" max="4" width="21.7109375" customWidth="1"/>
    <col min="5" max="5" width="18.42578125" customWidth="1"/>
    <col min="6" max="6" width="15.28515625" customWidth="1"/>
    <col min="7" max="10" width="21.7109375" customWidth="1"/>
  </cols>
  <sheetData>
    <row r="1" spans="1:26" ht="60" customHeight="1" thickBot="1" x14ac:dyDescent="0.35">
      <c r="A1" s="52" t="s">
        <v>51</v>
      </c>
      <c r="B1" s="181" t="s">
        <v>156</v>
      </c>
      <c r="C1" s="52" t="s">
        <v>157</v>
      </c>
      <c r="D1" s="52" t="s">
        <v>158</v>
      </c>
      <c r="E1" s="52" t="s">
        <v>219</v>
      </c>
      <c r="F1" s="52" t="s">
        <v>220</v>
      </c>
      <c r="G1" s="52" t="s">
        <v>221</v>
      </c>
      <c r="H1" s="52"/>
      <c r="I1" s="52"/>
      <c r="J1" s="52"/>
      <c r="K1" s="56" t="s">
        <v>196</v>
      </c>
      <c r="Y1" t="s">
        <v>121</v>
      </c>
    </row>
    <row r="2" spans="1:26" s="55" customFormat="1" ht="39.75" customHeight="1" outlineLevel="1" thickTop="1" x14ac:dyDescent="0.25">
      <c r="A2" s="54" t="s">
        <v>180</v>
      </c>
      <c r="B2" s="182" t="s">
        <v>188</v>
      </c>
      <c r="C2" s="53" t="s">
        <v>187</v>
      </c>
      <c r="D2" s="53" t="s">
        <v>290</v>
      </c>
      <c r="E2" s="53" t="s">
        <v>188</v>
      </c>
      <c r="F2" s="53" t="s">
        <v>187</v>
      </c>
      <c r="G2" s="53" t="s">
        <v>290</v>
      </c>
      <c r="H2" s="53"/>
      <c r="I2" s="53"/>
      <c r="J2" s="53"/>
      <c r="Y2" t="str">
        <f>IF(ISBLANK(B1),"",B1)</f>
        <v>Lastebilhugger terminal</v>
      </c>
      <c r="Z2" t="str">
        <f>IFERROR(INDEX(Y$2:Y$11, MATCH(0,INDEX(COUNTIF(Z$1:Z1, Y$2:Y$11), 0,0),0)),"")</f>
        <v>Lastebilhugger terminal</v>
      </c>
    </row>
    <row r="3" spans="1:26" outlineLevel="1" x14ac:dyDescent="0.25">
      <c r="A3" s="36" t="s">
        <v>10</v>
      </c>
      <c r="B3" s="29">
        <v>350</v>
      </c>
      <c r="C3" s="37">
        <v>170</v>
      </c>
      <c r="D3" s="37">
        <v>0</v>
      </c>
      <c r="E3" s="37">
        <v>350</v>
      </c>
      <c r="F3" s="37">
        <v>170</v>
      </c>
      <c r="G3" s="37">
        <v>0</v>
      </c>
      <c r="H3" s="37"/>
      <c r="I3" s="37"/>
      <c r="J3" s="37"/>
      <c r="Y3" t="str">
        <f>IF(ISBLANK(C1),"",C1)</f>
        <v>Traktorhugger terminal</v>
      </c>
      <c r="Z3" t="str">
        <f>IFERROR(INDEX(Y$2:Y$11, MATCH(0,INDEX(COUNTIF(Z$1:Z2, Y$2:Y$11), 0,0),0)),"")</f>
        <v>Traktorhugger terminal</v>
      </c>
    </row>
    <row r="4" spans="1:26" outlineLevel="1" x14ac:dyDescent="0.25">
      <c r="A4" s="36" t="s">
        <v>115</v>
      </c>
      <c r="B4" s="29">
        <v>0</v>
      </c>
      <c r="C4" s="37">
        <v>0</v>
      </c>
      <c r="D4" s="37">
        <v>0</v>
      </c>
      <c r="E4" s="37">
        <v>0</v>
      </c>
      <c r="F4" s="37">
        <v>0</v>
      </c>
      <c r="G4" s="37">
        <v>0</v>
      </c>
      <c r="H4" s="37"/>
      <c r="I4" s="37"/>
      <c r="J4" s="37"/>
      <c r="Y4" t="str">
        <f>IF(ISBLANK(D1),"",D1)</f>
        <v>Stasjonær hugger terminal</v>
      </c>
      <c r="Z4" t="str">
        <f>IFERROR(INDEX(Y$2:Y$11, MATCH(0,INDEX(COUNTIF(Z$1:Z3, Y$2:Y$11), 0,0),0)),"")</f>
        <v>Stasjonær hugger terminal</v>
      </c>
    </row>
    <row r="5" spans="1:26" ht="44.25" customHeight="1" outlineLevel="1" x14ac:dyDescent="0.25">
      <c r="A5" s="36" t="s">
        <v>161</v>
      </c>
      <c r="B5" s="182" t="s">
        <v>191</v>
      </c>
      <c r="C5" s="53" t="s">
        <v>182</v>
      </c>
      <c r="D5" s="53" t="s">
        <v>185</v>
      </c>
      <c r="E5" s="53" t="s">
        <v>191</v>
      </c>
      <c r="F5" s="53" t="s">
        <v>182</v>
      </c>
      <c r="G5" s="53" t="s">
        <v>185</v>
      </c>
      <c r="H5" s="53"/>
      <c r="I5" s="53"/>
      <c r="J5" s="53"/>
      <c r="Y5" t="str">
        <f>IF(ISBLANK(E1),"",E1)</f>
        <v>Lastebilhugger (bunter) terminal</v>
      </c>
      <c r="Z5" t="str">
        <f>IFERROR(INDEX(Y$2:Y$11, MATCH(0,INDEX(COUNTIF(Z$1:Z4, Y$2:Y$11), 0,0),0)),"")</f>
        <v>Lastebilhugger (bunter) terminal</v>
      </c>
    </row>
    <row r="6" spans="1:26" outlineLevel="1" x14ac:dyDescent="0.25">
      <c r="A6" s="36" t="s">
        <v>291</v>
      </c>
      <c r="B6" s="29">
        <v>350</v>
      </c>
      <c r="C6" s="37">
        <v>160</v>
      </c>
      <c r="D6" s="37">
        <v>350</v>
      </c>
      <c r="E6" s="37">
        <v>350</v>
      </c>
      <c r="F6" s="37">
        <v>160</v>
      </c>
      <c r="G6" s="37">
        <v>350</v>
      </c>
      <c r="H6" s="37"/>
      <c r="I6" s="37"/>
      <c r="J6" s="37"/>
      <c r="Y6" t="str">
        <f>IF(ISBLANK(F1),"",F1)</f>
        <v>Traktorhugger (bunter) terminal</v>
      </c>
      <c r="Z6" t="str">
        <f>IFERROR(INDEX(Y$2:Y$11, MATCH(0,INDEX(COUNTIF(Z$1:Z5, Y$2:Y$11), 0,0),0)),"")</f>
        <v>Traktorhugger (bunter) terminal</v>
      </c>
    </row>
    <row r="7" spans="1:26" outlineLevel="1" x14ac:dyDescent="0.25">
      <c r="A7" s="36" t="s">
        <v>114</v>
      </c>
      <c r="C7" s="36"/>
      <c r="D7" s="36"/>
      <c r="E7" s="36"/>
      <c r="F7" s="36"/>
      <c r="G7" s="36"/>
      <c r="H7" s="36"/>
      <c r="I7" s="36"/>
      <c r="J7" s="36"/>
      <c r="Y7" t="str">
        <f>IF(ISBLANK(G1),"",G1)</f>
        <v>Stasjonær hugger (bunter) terminal</v>
      </c>
      <c r="Z7" t="str">
        <f>IFERROR(INDEX(Y$2:Y$11, MATCH(0,INDEX(COUNTIF(Z$1:Z6, Y$2:Y$11), 0,0),0)),"")</f>
        <v>Stasjonær hugger (bunter) terminal</v>
      </c>
    </row>
    <row r="8" spans="1:26" x14ac:dyDescent="0.25">
      <c r="A8" s="36"/>
      <c r="C8" s="36"/>
      <c r="D8" s="36"/>
      <c r="E8" s="36"/>
      <c r="F8" s="36"/>
      <c r="G8" s="36"/>
      <c r="H8" s="36"/>
      <c r="I8" s="36"/>
      <c r="J8" s="36"/>
      <c r="Y8" t="str">
        <f>IF(ISBLANK(H1),"",H1)</f>
        <v/>
      </c>
      <c r="Z8" t="str">
        <f>IFERROR(INDEX(Y$2:Y$11, MATCH(0,INDEX(COUNTIF(Z$1:Z7, Y$2:Y$11), 0,0),0)),"")</f>
        <v>Ingen</v>
      </c>
    </row>
    <row r="9" spans="1:26" ht="18" thickBot="1" x14ac:dyDescent="0.35">
      <c r="A9" s="2" t="s">
        <v>143</v>
      </c>
      <c r="B9" s="20"/>
      <c r="C9" s="2"/>
      <c r="D9" s="2"/>
      <c r="E9" s="2"/>
      <c r="F9" s="2"/>
      <c r="G9" s="2"/>
      <c r="H9" s="2"/>
      <c r="I9" s="2"/>
      <c r="J9" s="2"/>
      <c r="Y9" t="str">
        <f>IF(ISBLANK(I1),"",I1)</f>
        <v/>
      </c>
      <c r="Z9" t="str">
        <f>IFERROR(INDEX(Y$2:Y$11, MATCH(0,INDEX(COUNTIF(Z$1:Z8, Y$2:Y$11), 0,0),0)),"")</f>
        <v/>
      </c>
    </row>
    <row r="10" spans="1:26" ht="15.75" outlineLevel="1" thickTop="1" x14ac:dyDescent="0.25">
      <c r="A10" s="1" t="s">
        <v>36</v>
      </c>
      <c r="B10" s="26">
        <v>130</v>
      </c>
      <c r="C10" s="36">
        <v>130</v>
      </c>
      <c r="D10" s="36">
        <v>130</v>
      </c>
      <c r="E10" s="36">
        <v>130</v>
      </c>
      <c r="F10" s="36">
        <v>130</v>
      </c>
      <c r="G10" s="36">
        <v>130</v>
      </c>
      <c r="H10" s="36"/>
      <c r="I10" s="36"/>
      <c r="J10" s="36"/>
      <c r="Y10" t="str">
        <f>IF(ISBLANK(J1),"",J1)</f>
        <v/>
      </c>
      <c r="Z10" t="str">
        <f>IFERROR(INDEX(Y$2:Y$11, MATCH(0,INDEX(COUNTIF(Z$1:Z9, Y$2:Y$11), 0,0),0)),"")</f>
        <v/>
      </c>
    </row>
    <row r="11" spans="1:26" outlineLevel="1" x14ac:dyDescent="0.25">
      <c r="A11" s="1" t="s">
        <v>68</v>
      </c>
      <c r="B11" s="26">
        <v>1</v>
      </c>
      <c r="C11" s="36">
        <v>1</v>
      </c>
      <c r="D11" s="36">
        <v>1</v>
      </c>
      <c r="E11" s="36">
        <v>1</v>
      </c>
      <c r="F11" s="36">
        <v>1</v>
      </c>
      <c r="G11" s="36">
        <v>1</v>
      </c>
      <c r="H11" s="36"/>
      <c r="I11" s="36"/>
      <c r="J11" s="36"/>
      <c r="Y11" t="str">
        <f>IF(ISBLANK(K1),"",K1)</f>
        <v>Ingen</v>
      </c>
      <c r="Z11" t="str">
        <f>IFERROR(INDEX(Y$2:Y$11, MATCH(0,INDEX(COUNTIF(Z$1:Z10, Y$2:Y$11), 0,0),0)),"")</f>
        <v/>
      </c>
    </row>
    <row r="12" spans="1:26" outlineLevel="1" x14ac:dyDescent="0.25">
      <c r="A12" s="1" t="s">
        <v>117</v>
      </c>
      <c r="B12" s="26">
        <v>8</v>
      </c>
      <c r="C12" s="36">
        <v>8</v>
      </c>
      <c r="D12" s="36">
        <v>8</v>
      </c>
      <c r="E12" s="36">
        <v>8</v>
      </c>
      <c r="F12" s="36">
        <v>8</v>
      </c>
      <c r="G12" s="36">
        <v>8</v>
      </c>
      <c r="H12" s="36"/>
      <c r="I12" s="36"/>
      <c r="J12" s="36"/>
    </row>
    <row r="14" spans="1:26" ht="18" thickBot="1" x14ac:dyDescent="0.35">
      <c r="A14" s="2" t="s">
        <v>52</v>
      </c>
      <c r="B14" s="20"/>
      <c r="C14" s="2"/>
      <c r="D14" s="2"/>
      <c r="E14" s="2"/>
      <c r="F14" s="2"/>
      <c r="G14" s="2"/>
      <c r="H14" s="2"/>
      <c r="I14" s="2"/>
      <c r="J14" s="2"/>
    </row>
    <row r="15" spans="1:26" ht="15.75" outlineLevel="1" thickTop="1" x14ac:dyDescent="0.25">
      <c r="A15" s="1" t="s">
        <v>5</v>
      </c>
      <c r="B15" s="22">
        <v>1200000</v>
      </c>
      <c r="C15" s="38">
        <v>1000000</v>
      </c>
      <c r="D15" s="38">
        <v>100000</v>
      </c>
      <c r="E15" s="38">
        <v>1200000</v>
      </c>
      <c r="F15" s="38">
        <v>1000000</v>
      </c>
      <c r="G15" s="38">
        <v>100000</v>
      </c>
      <c r="H15" s="38"/>
      <c r="I15" s="38"/>
      <c r="J15" s="38"/>
    </row>
    <row r="16" spans="1:26" outlineLevel="1" x14ac:dyDescent="0.25">
      <c r="A16" s="1" t="s">
        <v>8</v>
      </c>
      <c r="B16" s="22">
        <v>1500000</v>
      </c>
      <c r="C16" s="38">
        <v>1000000</v>
      </c>
      <c r="D16" s="38">
        <v>2000000</v>
      </c>
      <c r="E16" s="38">
        <v>1500000</v>
      </c>
      <c r="F16" s="38">
        <v>1000000</v>
      </c>
      <c r="G16" s="38">
        <v>2000000</v>
      </c>
      <c r="H16" s="38"/>
      <c r="I16" s="38"/>
      <c r="J16" s="38"/>
    </row>
    <row r="17" spans="1:10" outlineLevel="1" x14ac:dyDescent="0.25">
      <c r="A17" s="1" t="s">
        <v>6</v>
      </c>
      <c r="B17" s="183">
        <v>10</v>
      </c>
      <c r="C17" s="39">
        <v>10</v>
      </c>
      <c r="D17" s="39">
        <v>10</v>
      </c>
      <c r="E17" s="39">
        <v>10</v>
      </c>
      <c r="F17" s="39">
        <v>10</v>
      </c>
      <c r="G17" s="39">
        <v>10</v>
      </c>
      <c r="H17" s="39"/>
      <c r="I17" s="39"/>
      <c r="J17" s="39"/>
    </row>
    <row r="18" spans="1:10" outlineLevel="1" x14ac:dyDescent="0.25">
      <c r="A18" s="1" t="s">
        <v>179</v>
      </c>
      <c r="B18" s="183">
        <v>10</v>
      </c>
      <c r="C18" s="39">
        <v>10</v>
      </c>
      <c r="D18" s="39">
        <v>10</v>
      </c>
      <c r="E18" s="39">
        <v>10</v>
      </c>
      <c r="F18" s="39">
        <v>10</v>
      </c>
      <c r="G18" s="39">
        <v>10</v>
      </c>
      <c r="H18" s="39"/>
      <c r="I18" s="39"/>
      <c r="J18" s="39"/>
    </row>
    <row r="19" spans="1:10" outlineLevel="1" x14ac:dyDescent="0.25">
      <c r="A19" s="1" t="s">
        <v>55</v>
      </c>
      <c r="B19" s="23">
        <v>0.2</v>
      </c>
      <c r="C19" s="40">
        <v>0.2</v>
      </c>
      <c r="D19" s="40">
        <v>0.2</v>
      </c>
      <c r="E19" s="40">
        <v>0.2</v>
      </c>
      <c r="F19" s="40">
        <v>0.2</v>
      </c>
      <c r="G19" s="40">
        <v>0.2</v>
      </c>
      <c r="H19" s="40"/>
      <c r="I19" s="40"/>
      <c r="J19" s="40"/>
    </row>
    <row r="20" spans="1:10" outlineLevel="1" x14ac:dyDescent="0.25">
      <c r="A20" s="1" t="s">
        <v>54</v>
      </c>
      <c r="B20" s="23">
        <v>0.2</v>
      </c>
      <c r="C20" s="40">
        <v>0.2</v>
      </c>
      <c r="D20" s="40">
        <v>0.2</v>
      </c>
      <c r="E20" s="40">
        <v>0.2</v>
      </c>
      <c r="F20" s="40">
        <v>0.2</v>
      </c>
      <c r="G20" s="40">
        <v>0.2</v>
      </c>
      <c r="H20" s="40"/>
      <c r="I20" s="40"/>
      <c r="J20" s="40"/>
    </row>
    <row r="21" spans="1:10" outlineLevel="1" x14ac:dyDescent="0.25">
      <c r="A21" s="1" t="s">
        <v>46</v>
      </c>
      <c r="B21" s="26">
        <v>2000</v>
      </c>
      <c r="C21" s="36">
        <v>2000</v>
      </c>
      <c r="D21" s="36">
        <v>2000</v>
      </c>
      <c r="E21" s="36">
        <v>2000</v>
      </c>
      <c r="F21" s="36">
        <v>2000</v>
      </c>
      <c r="G21" s="36">
        <v>2000</v>
      </c>
      <c r="H21" s="36"/>
      <c r="I21" s="36"/>
      <c r="J21" s="36"/>
    </row>
    <row r="22" spans="1:10" outlineLevel="1" x14ac:dyDescent="0.25">
      <c r="A22" s="1" t="s">
        <v>113</v>
      </c>
      <c r="B22" s="22">
        <f t="shared" ref="B22:G22" si="0">SUM(B15:B16)*0.01</f>
        <v>27000</v>
      </c>
      <c r="C22" s="38">
        <f t="shared" si="0"/>
        <v>20000</v>
      </c>
      <c r="D22" s="38">
        <f t="shared" si="0"/>
        <v>21000</v>
      </c>
      <c r="E22" s="38">
        <f t="shared" si="0"/>
        <v>27000</v>
      </c>
      <c r="F22" s="38">
        <f t="shared" si="0"/>
        <v>20000</v>
      </c>
      <c r="G22" s="38">
        <f t="shared" si="0"/>
        <v>21000</v>
      </c>
      <c r="H22" s="38"/>
      <c r="I22" s="38"/>
      <c r="J22" s="38"/>
    </row>
    <row r="23" spans="1:10" x14ac:dyDescent="0.25">
      <c r="A23" s="1"/>
      <c r="B23" s="22"/>
      <c r="C23" s="38"/>
      <c r="D23" s="38"/>
      <c r="E23" s="38"/>
      <c r="F23" s="38"/>
      <c r="G23" s="38"/>
      <c r="H23" s="38"/>
      <c r="I23" s="38"/>
      <c r="J23" s="38"/>
    </row>
    <row r="24" spans="1:10" ht="18" thickBot="1" x14ac:dyDescent="0.35">
      <c r="A24" s="2" t="s">
        <v>53</v>
      </c>
      <c r="B24" s="20"/>
      <c r="C24" s="2"/>
      <c r="D24" s="2"/>
      <c r="E24" s="2"/>
      <c r="F24" s="2"/>
      <c r="G24" s="2"/>
      <c r="H24" s="2"/>
      <c r="I24" s="2"/>
      <c r="J24" s="2"/>
    </row>
    <row r="25" spans="1:10" ht="15.75" outlineLevel="1" thickTop="1" x14ac:dyDescent="0.25">
      <c r="A25" s="1" t="s">
        <v>327</v>
      </c>
      <c r="B25" s="26">
        <v>0.45</v>
      </c>
      <c r="C25">
        <v>0.45</v>
      </c>
      <c r="D25">
        <v>0.45</v>
      </c>
      <c r="E25">
        <v>0.45</v>
      </c>
      <c r="F25">
        <v>0.45</v>
      </c>
      <c r="G25">
        <v>0.45</v>
      </c>
    </row>
    <row r="26" spans="1:10" outlineLevel="1" x14ac:dyDescent="0.25">
      <c r="A26" s="1" t="s">
        <v>338</v>
      </c>
      <c r="B26" s="25">
        <f t="shared" ref="B26:G26" si="1" xml:space="preserve"> 0.267*B6*B25</f>
        <v>42.052500000000002</v>
      </c>
      <c r="C26" s="25">
        <f t="shared" si="1"/>
        <v>19.224</v>
      </c>
      <c r="D26" s="25">
        <f t="shared" si="1"/>
        <v>42.052500000000002</v>
      </c>
      <c r="E26" s="25">
        <f t="shared" si="1"/>
        <v>42.052500000000002</v>
      </c>
      <c r="F26" s="25">
        <f t="shared" si="1"/>
        <v>19.224</v>
      </c>
      <c r="G26" s="25">
        <f t="shared" si="1"/>
        <v>42.052500000000002</v>
      </c>
      <c r="H26" s="25">
        <f xml:space="preserve"> 0.267*H6*0.45</f>
        <v>0</v>
      </c>
      <c r="I26" s="25">
        <f xml:space="preserve"> 0.267*I6*0.45</f>
        <v>0</v>
      </c>
      <c r="J26" s="25">
        <f xml:space="preserve"> 0.267*J6*0.45</f>
        <v>0</v>
      </c>
    </row>
    <row r="27" spans="1:10" outlineLevel="1" x14ac:dyDescent="0.25">
      <c r="A27" s="1" t="s">
        <v>339</v>
      </c>
      <c r="B27" s="25">
        <f>B26</f>
        <v>42.052500000000002</v>
      </c>
      <c r="C27" s="17">
        <f t="shared" ref="C27:J27" si="2">C26</f>
        <v>19.224</v>
      </c>
      <c r="D27" s="17">
        <f t="shared" si="2"/>
        <v>42.052500000000002</v>
      </c>
      <c r="E27" s="17">
        <f t="shared" si="2"/>
        <v>42.052500000000002</v>
      </c>
      <c r="F27" s="17">
        <f t="shared" si="2"/>
        <v>19.224</v>
      </c>
      <c r="G27" s="17">
        <f t="shared" si="2"/>
        <v>42.052500000000002</v>
      </c>
      <c r="H27" s="17">
        <f t="shared" si="2"/>
        <v>0</v>
      </c>
      <c r="I27" s="17">
        <f t="shared" si="2"/>
        <v>0</v>
      </c>
      <c r="J27" s="17">
        <f t="shared" si="2"/>
        <v>0</v>
      </c>
    </row>
    <row r="28" spans="1:10" outlineLevel="1" x14ac:dyDescent="0.25">
      <c r="A28" s="1" t="s">
        <v>32</v>
      </c>
      <c r="B28" s="184">
        <v>0.06</v>
      </c>
      <c r="C28" s="42">
        <v>0.06</v>
      </c>
      <c r="D28" s="42">
        <v>0.06</v>
      </c>
      <c r="E28" s="42">
        <v>0.06</v>
      </c>
      <c r="F28" s="42">
        <v>0.06</v>
      </c>
      <c r="G28" s="42">
        <v>0.06</v>
      </c>
      <c r="H28" s="42"/>
      <c r="I28" s="42"/>
      <c r="J28" s="42"/>
    </row>
    <row r="29" spans="1:10" outlineLevel="1" x14ac:dyDescent="0.25">
      <c r="A29" s="36" t="s">
        <v>57</v>
      </c>
      <c r="B29" s="23">
        <v>0.8</v>
      </c>
      <c r="C29" s="40">
        <v>0.8</v>
      </c>
      <c r="D29" s="40">
        <v>0.8</v>
      </c>
      <c r="E29" s="40">
        <v>0.8</v>
      </c>
      <c r="F29" s="40">
        <v>0.8</v>
      </c>
      <c r="G29" s="40">
        <v>0.8</v>
      </c>
      <c r="H29" s="40"/>
      <c r="I29" s="40"/>
      <c r="J29" s="40"/>
    </row>
    <row r="30" spans="1:10" outlineLevel="1" x14ac:dyDescent="0.25">
      <c r="A30" s="1" t="s">
        <v>58</v>
      </c>
      <c r="B30" s="23">
        <v>0.8</v>
      </c>
      <c r="C30" s="40">
        <v>0.8</v>
      </c>
      <c r="D30" s="40">
        <v>0.8</v>
      </c>
      <c r="E30" s="40">
        <v>0.8</v>
      </c>
      <c r="F30" s="40">
        <v>0.8</v>
      </c>
      <c r="G30" s="40">
        <v>0.8</v>
      </c>
      <c r="H30" s="40"/>
      <c r="I30" s="40"/>
      <c r="J30" s="40"/>
    </row>
    <row r="31" spans="1:10" outlineLevel="1" x14ac:dyDescent="0.25">
      <c r="A31" s="1" t="s">
        <v>69</v>
      </c>
      <c r="C31" s="36"/>
      <c r="D31" s="36"/>
      <c r="E31" s="36"/>
      <c r="F31" s="36"/>
      <c r="G31" s="36"/>
      <c r="H31" s="36"/>
      <c r="I31" s="36"/>
      <c r="J31" s="36"/>
    </row>
    <row r="32" spans="1:10" outlineLevel="1" x14ac:dyDescent="0.25">
      <c r="A32" s="1" t="s">
        <v>70</v>
      </c>
      <c r="C32" s="36"/>
      <c r="D32" s="36"/>
      <c r="E32" s="36"/>
      <c r="F32" s="36"/>
      <c r="G32" s="36"/>
      <c r="H32" s="36"/>
      <c r="I32" s="36"/>
      <c r="J32" s="36"/>
    </row>
    <row r="33" spans="1:10" outlineLevel="1" x14ac:dyDescent="0.25">
      <c r="A33" s="1" t="s">
        <v>163</v>
      </c>
      <c r="B33" s="22">
        <v>90000</v>
      </c>
      <c r="C33" s="38">
        <v>60000</v>
      </c>
      <c r="D33" s="38">
        <v>20000</v>
      </c>
      <c r="E33" s="38">
        <v>90000</v>
      </c>
      <c r="F33" s="38">
        <v>60000</v>
      </c>
      <c r="G33" s="38">
        <v>20000</v>
      </c>
      <c r="H33" s="38"/>
      <c r="I33" s="38"/>
      <c r="J33" s="38"/>
    </row>
    <row r="34" spans="1:10" ht="15.75" outlineLevel="1" x14ac:dyDescent="0.3">
      <c r="A34" s="1" t="s">
        <v>164</v>
      </c>
      <c r="B34" s="22">
        <v>9000</v>
      </c>
      <c r="C34" s="38">
        <v>9000</v>
      </c>
      <c r="D34" s="38">
        <v>9000</v>
      </c>
      <c r="E34" s="38">
        <v>9000</v>
      </c>
      <c r="F34" s="38">
        <v>9000</v>
      </c>
      <c r="G34" s="38">
        <v>9000</v>
      </c>
      <c r="H34" s="38"/>
      <c r="I34" s="38"/>
      <c r="J34" s="38"/>
    </row>
    <row r="35" spans="1:10" outlineLevel="1" x14ac:dyDescent="0.25">
      <c r="A35" s="1" t="s">
        <v>165</v>
      </c>
      <c r="B35" s="22">
        <v>10000</v>
      </c>
      <c r="C35" s="38">
        <v>10000</v>
      </c>
      <c r="D35" s="38">
        <v>10000</v>
      </c>
      <c r="E35" s="38">
        <v>10000</v>
      </c>
      <c r="F35" s="38">
        <v>10000</v>
      </c>
      <c r="G35" s="38">
        <v>10000</v>
      </c>
      <c r="H35" s="38"/>
      <c r="I35" s="38"/>
      <c r="J35" s="38"/>
    </row>
    <row r="36" spans="1:10" ht="15.75" outlineLevel="1" x14ac:dyDescent="0.3">
      <c r="A36" s="1" t="s">
        <v>166</v>
      </c>
      <c r="B36" s="22">
        <v>50000</v>
      </c>
      <c r="C36" s="38">
        <v>50000</v>
      </c>
      <c r="D36" s="38">
        <v>50000</v>
      </c>
      <c r="E36" s="38">
        <v>50000</v>
      </c>
      <c r="F36" s="38">
        <v>50000</v>
      </c>
      <c r="G36" s="38">
        <v>50000</v>
      </c>
      <c r="H36" s="38"/>
      <c r="I36" s="38"/>
      <c r="J36" s="38"/>
    </row>
    <row r="37" spans="1:10" outlineLevel="1" x14ac:dyDescent="0.25">
      <c r="A37" s="1" t="s">
        <v>176</v>
      </c>
      <c r="B37" s="22">
        <v>0</v>
      </c>
      <c r="C37" s="38">
        <v>0</v>
      </c>
      <c r="D37" s="38">
        <v>0</v>
      </c>
      <c r="E37" s="38">
        <v>0</v>
      </c>
      <c r="F37" s="38">
        <v>0</v>
      </c>
      <c r="G37" s="38">
        <v>0</v>
      </c>
      <c r="H37" s="38"/>
      <c r="I37" s="38"/>
      <c r="J37" s="38"/>
    </row>
    <row r="38" spans="1:10" ht="15.75" outlineLevel="1" x14ac:dyDescent="0.3">
      <c r="A38" s="1" t="s">
        <v>175</v>
      </c>
      <c r="B38" s="22">
        <v>1</v>
      </c>
      <c r="C38" s="38">
        <v>1</v>
      </c>
      <c r="D38" s="38">
        <v>1</v>
      </c>
      <c r="E38" s="38">
        <v>1</v>
      </c>
      <c r="F38" s="38">
        <v>1</v>
      </c>
      <c r="G38" s="38">
        <v>1</v>
      </c>
      <c r="H38" s="38"/>
      <c r="I38" s="38"/>
      <c r="J38" s="38"/>
    </row>
    <row r="39" spans="1:10" outlineLevel="1" x14ac:dyDescent="0.25">
      <c r="A39" s="1" t="s">
        <v>174</v>
      </c>
      <c r="B39" s="22">
        <v>0</v>
      </c>
      <c r="C39" s="38">
        <v>0</v>
      </c>
      <c r="D39" s="38">
        <v>0</v>
      </c>
      <c r="E39" s="38">
        <v>0</v>
      </c>
      <c r="F39" s="38">
        <v>0</v>
      </c>
      <c r="G39" s="38">
        <v>0</v>
      </c>
      <c r="H39" s="38"/>
      <c r="I39" s="38"/>
      <c r="J39" s="38"/>
    </row>
    <row r="40" spans="1:10" ht="15.75" outlineLevel="1" x14ac:dyDescent="0.3">
      <c r="A40" s="1" t="s">
        <v>173</v>
      </c>
      <c r="B40" s="22">
        <v>1</v>
      </c>
      <c r="C40" s="38">
        <v>1</v>
      </c>
      <c r="D40" s="38">
        <v>1</v>
      </c>
      <c r="E40" s="38">
        <v>1</v>
      </c>
      <c r="F40" s="38">
        <v>1</v>
      </c>
      <c r="G40" s="38">
        <v>1</v>
      </c>
      <c r="H40" s="38"/>
      <c r="I40" s="38"/>
      <c r="J40" s="38"/>
    </row>
    <row r="41" spans="1:10" outlineLevel="1" x14ac:dyDescent="0.25">
      <c r="A41" s="1" t="s">
        <v>171</v>
      </c>
      <c r="B41" s="22">
        <v>0</v>
      </c>
      <c r="C41" s="38">
        <v>0</v>
      </c>
      <c r="D41" s="38">
        <v>0</v>
      </c>
      <c r="E41" s="38">
        <v>0</v>
      </c>
      <c r="F41" s="38">
        <v>0</v>
      </c>
      <c r="G41" s="38">
        <v>0</v>
      </c>
      <c r="H41" s="38"/>
      <c r="I41" s="38"/>
      <c r="J41" s="38"/>
    </row>
    <row r="42" spans="1:10" outlineLevel="1" x14ac:dyDescent="0.25">
      <c r="A42" s="1" t="s">
        <v>172</v>
      </c>
      <c r="B42" s="22">
        <v>0</v>
      </c>
      <c r="C42" s="38">
        <v>0</v>
      </c>
      <c r="D42" s="38">
        <v>0</v>
      </c>
      <c r="E42" s="38">
        <v>0</v>
      </c>
      <c r="F42" s="38">
        <v>0</v>
      </c>
      <c r="G42" s="38">
        <v>0</v>
      </c>
      <c r="H42" s="38"/>
      <c r="I42" s="38"/>
      <c r="J42" s="38"/>
    </row>
    <row r="43" spans="1:10" outlineLevel="1" x14ac:dyDescent="0.25">
      <c r="A43" s="1" t="s">
        <v>162</v>
      </c>
      <c r="B43" s="22">
        <v>1500</v>
      </c>
      <c r="C43" s="38">
        <v>1500</v>
      </c>
      <c r="D43" s="38">
        <v>1500</v>
      </c>
      <c r="E43" s="38">
        <v>1500</v>
      </c>
      <c r="F43" s="38">
        <v>1500</v>
      </c>
      <c r="G43" s="38">
        <v>1500</v>
      </c>
      <c r="H43" s="38"/>
      <c r="I43" s="38"/>
      <c r="J43" s="38"/>
    </row>
    <row r="44" spans="1:10" outlineLevel="1" x14ac:dyDescent="0.25">
      <c r="A44" s="1" t="s">
        <v>167</v>
      </c>
      <c r="B44" s="22">
        <v>600</v>
      </c>
      <c r="C44" s="38">
        <v>600</v>
      </c>
      <c r="D44" s="38">
        <v>600</v>
      </c>
      <c r="E44" s="38">
        <v>600</v>
      </c>
      <c r="F44" s="38">
        <v>600</v>
      </c>
      <c r="G44" s="38">
        <v>600</v>
      </c>
      <c r="H44" s="38"/>
      <c r="I44" s="38"/>
      <c r="J44" s="38"/>
    </row>
    <row r="45" spans="1:10" ht="15.75" outlineLevel="1" x14ac:dyDescent="0.3">
      <c r="A45" s="1" t="s">
        <v>177</v>
      </c>
      <c r="B45" s="22">
        <v>0</v>
      </c>
      <c r="C45" s="38">
        <v>0</v>
      </c>
      <c r="D45" s="38">
        <v>0</v>
      </c>
      <c r="E45" s="38">
        <v>0</v>
      </c>
      <c r="F45" s="38">
        <v>0</v>
      </c>
      <c r="G45" s="38">
        <v>0</v>
      </c>
      <c r="H45" s="38"/>
      <c r="I45" s="38"/>
      <c r="J45" s="38"/>
    </row>
    <row r="46" spans="1:10" outlineLevel="1" x14ac:dyDescent="0.25">
      <c r="A46" s="1" t="s">
        <v>184</v>
      </c>
      <c r="B46" s="22">
        <v>100</v>
      </c>
      <c r="C46" s="38">
        <v>100</v>
      </c>
      <c r="D46" s="38">
        <v>100</v>
      </c>
      <c r="E46" s="38">
        <v>100</v>
      </c>
      <c r="F46" s="38">
        <v>100</v>
      </c>
      <c r="G46" s="38">
        <v>100</v>
      </c>
      <c r="H46" s="38"/>
      <c r="I46" s="38"/>
      <c r="J46" s="38"/>
    </row>
    <row r="48" spans="1:10" x14ac:dyDescent="0.25">
      <c r="A48" s="1"/>
      <c r="B48" s="22"/>
      <c r="C48" s="38"/>
      <c r="D48" s="38"/>
      <c r="E48" s="38"/>
      <c r="F48" s="38"/>
      <c r="G48" s="38"/>
      <c r="H48" s="38"/>
      <c r="I48" s="38"/>
      <c r="J48" s="38"/>
    </row>
    <row r="49" spans="1:10" ht="18" thickBot="1" x14ac:dyDescent="0.35">
      <c r="A49" s="2" t="s">
        <v>67</v>
      </c>
      <c r="B49" s="20"/>
      <c r="C49" s="2"/>
      <c r="D49" s="2"/>
      <c r="E49" s="2"/>
      <c r="F49" s="2"/>
      <c r="G49" s="2"/>
      <c r="H49" s="2"/>
      <c r="I49" s="2"/>
      <c r="J49" s="2"/>
    </row>
    <row r="50" spans="1:10" ht="15.75" outlineLevel="1" thickTop="1" x14ac:dyDescent="0.25">
      <c r="A50" s="1" t="s">
        <v>83</v>
      </c>
      <c r="B50" s="26">
        <f t="shared" ref="B50:J50" si="3">B12</f>
        <v>8</v>
      </c>
      <c r="C50" s="36">
        <f t="shared" si="3"/>
        <v>8</v>
      </c>
      <c r="D50" s="36">
        <f t="shared" si="3"/>
        <v>8</v>
      </c>
      <c r="E50" s="36">
        <f t="shared" si="3"/>
        <v>8</v>
      </c>
      <c r="F50" s="36">
        <f t="shared" si="3"/>
        <v>8</v>
      </c>
      <c r="G50" s="36">
        <f t="shared" si="3"/>
        <v>8</v>
      </c>
      <c r="H50" s="36">
        <f t="shared" si="3"/>
        <v>0</v>
      </c>
      <c r="I50" s="36">
        <f t="shared" si="3"/>
        <v>0</v>
      </c>
      <c r="J50" s="36">
        <f t="shared" si="3"/>
        <v>0</v>
      </c>
    </row>
    <row r="51" spans="1:10" outlineLevel="1" x14ac:dyDescent="0.25">
      <c r="A51" s="1" t="s">
        <v>340</v>
      </c>
      <c r="B51" s="22">
        <f>IF(B50&gt;0,Forutsetninger!$D$19,0)</f>
        <v>247.08698530885721</v>
      </c>
      <c r="C51" s="22">
        <f>IF(C50&gt;0,Forutsetninger!$D$19,0)</f>
        <v>247.08698530885721</v>
      </c>
      <c r="D51" s="22">
        <f>IF(D50&gt;0,Forutsetninger!$D$19,0)</f>
        <v>247.08698530885721</v>
      </c>
      <c r="E51" s="22">
        <f>IF(E50&gt;0,Forutsetninger!$D$19,0)</f>
        <v>247.08698530885721</v>
      </c>
      <c r="F51" s="22">
        <f>IF(F50&gt;0,Forutsetninger!$D$19,0)</f>
        <v>247.08698530885721</v>
      </c>
      <c r="G51" s="22">
        <f>IF(G50&gt;0,Forutsetninger!$D$19,0)</f>
        <v>247.08698530885721</v>
      </c>
      <c r="H51" s="22">
        <f>IF(H50&gt;0,Forutsetninger!$D$19,0)</f>
        <v>0</v>
      </c>
      <c r="I51" s="22">
        <f>IF(I50&gt;0,Forutsetninger!$D$19,0)</f>
        <v>0</v>
      </c>
      <c r="J51" s="22">
        <f>IF(J50&gt;0,Forutsetninger!$D$19,0)</f>
        <v>0</v>
      </c>
    </row>
    <row r="52" spans="1:10" outlineLevel="1" x14ac:dyDescent="0.25">
      <c r="A52" s="1" t="s">
        <v>82</v>
      </c>
      <c r="B52" s="22">
        <v>100</v>
      </c>
      <c r="C52" s="38">
        <v>100</v>
      </c>
      <c r="D52" s="38">
        <v>100</v>
      </c>
      <c r="E52" s="38">
        <v>100</v>
      </c>
      <c r="F52" s="38">
        <v>100</v>
      </c>
      <c r="G52" s="38">
        <v>100</v>
      </c>
      <c r="H52" s="38"/>
      <c r="I52" s="38"/>
      <c r="J52" s="38"/>
    </row>
    <row r="53" spans="1:10" outlineLevel="1" x14ac:dyDescent="0.25">
      <c r="A53" s="1" t="s">
        <v>72</v>
      </c>
      <c r="B53" s="22">
        <v>0</v>
      </c>
      <c r="C53" s="38">
        <v>0</v>
      </c>
      <c r="D53" s="38">
        <v>0</v>
      </c>
      <c r="E53" s="38">
        <v>0</v>
      </c>
      <c r="F53" s="38">
        <v>0</v>
      </c>
      <c r="G53" s="38">
        <v>0</v>
      </c>
      <c r="H53" s="38"/>
      <c r="I53" s="38"/>
      <c r="J53" s="38"/>
    </row>
    <row r="54" spans="1:10" outlineLevel="1" x14ac:dyDescent="0.25">
      <c r="A54" s="1" t="s">
        <v>85</v>
      </c>
      <c r="B54" s="22">
        <f>IF(B50&gt;0,SUM(Forutsetninger!D20),0)</f>
        <v>3000</v>
      </c>
      <c r="C54" s="38">
        <f>IF(C50&gt;0,SUM(Forutsetninger!E20),0)</f>
        <v>3000</v>
      </c>
      <c r="D54" s="38">
        <f>IF(D50&gt;0,SUM(Forutsetninger!F20),0)</f>
        <v>3000</v>
      </c>
      <c r="E54" s="38">
        <f>IF(E50&gt;0,SUM(Forutsetninger!G20),0)</f>
        <v>3000</v>
      </c>
      <c r="F54" s="38">
        <v>3000</v>
      </c>
      <c r="G54" s="38">
        <v>3000</v>
      </c>
      <c r="H54" s="38">
        <f>IF(H50&gt;0,SUM(Forutsetninger!J20),0)</f>
        <v>0</v>
      </c>
      <c r="I54" s="38">
        <f>IF(I50&gt;0,SUM(Forutsetninger!K20),0)</f>
        <v>0</v>
      </c>
      <c r="J54" s="38">
        <f>IF(J50&gt;0,SUM(Forutsetninger!L20),0)</f>
        <v>0</v>
      </c>
    </row>
    <row r="55" spans="1:10" outlineLevel="1" x14ac:dyDescent="0.25">
      <c r="A55" s="1" t="s">
        <v>183</v>
      </c>
      <c r="B55" s="22">
        <v>30</v>
      </c>
      <c r="C55" s="38">
        <v>30</v>
      </c>
      <c r="D55" s="38">
        <v>30</v>
      </c>
      <c r="E55" s="38">
        <v>30</v>
      </c>
      <c r="F55" s="38">
        <v>30</v>
      </c>
      <c r="G55" s="38">
        <v>30</v>
      </c>
      <c r="H55" s="38"/>
      <c r="I55" s="38"/>
      <c r="J55" s="38"/>
    </row>
    <row r="56" spans="1:10" x14ac:dyDescent="0.25">
      <c r="A56" s="1"/>
      <c r="B56" s="22"/>
      <c r="C56" s="38"/>
      <c r="D56" s="38"/>
      <c r="E56" s="38"/>
      <c r="F56" s="38"/>
      <c r="G56" s="38"/>
      <c r="H56" s="38"/>
      <c r="I56" s="38"/>
      <c r="J56" s="38"/>
    </row>
    <row r="57" spans="1:10" ht="18" thickBot="1" x14ac:dyDescent="0.35">
      <c r="A57" s="2" t="s">
        <v>74</v>
      </c>
      <c r="B57" s="20"/>
      <c r="C57" s="2"/>
      <c r="D57" s="2"/>
      <c r="E57" s="2"/>
      <c r="F57" s="2"/>
      <c r="G57" s="2"/>
      <c r="H57" s="2"/>
      <c r="I57" s="2"/>
      <c r="J57" s="2"/>
    </row>
    <row r="58" spans="1:10" ht="16.5" outlineLevel="1" thickTop="1" x14ac:dyDescent="0.3">
      <c r="A58" s="1" t="s">
        <v>292</v>
      </c>
      <c r="B58" s="48">
        <f t="shared" ref="B58:J58" si="4" xml:space="preserve"> IF(B6&gt;0,(0.02+ 0.2 + (13.1/(0.03*(B6))) + 566/(B6))*0.7,0)</f>
        <v>2.1593333333333331</v>
      </c>
      <c r="C58" s="48">
        <f t="shared" si="4"/>
        <v>4.5406666666666657</v>
      </c>
      <c r="D58" s="48">
        <f t="shared" si="4"/>
        <v>2.1593333333333331</v>
      </c>
      <c r="E58" s="48">
        <f t="shared" si="4"/>
        <v>2.1593333333333331</v>
      </c>
      <c r="F58" s="48">
        <f t="shared" si="4"/>
        <v>4.5406666666666657</v>
      </c>
      <c r="G58" s="48">
        <f t="shared" si="4"/>
        <v>2.1593333333333331</v>
      </c>
      <c r="H58" s="48">
        <f t="shared" si="4"/>
        <v>0</v>
      </c>
      <c r="I58" s="48">
        <f t="shared" si="4"/>
        <v>0</v>
      </c>
      <c r="J58" s="48">
        <f t="shared" si="4"/>
        <v>0</v>
      </c>
    </row>
    <row r="59" spans="1:10" ht="15.75" outlineLevel="1" x14ac:dyDescent="0.3">
      <c r="A59" s="1" t="s">
        <v>293</v>
      </c>
      <c r="B59" s="48">
        <f t="shared" ref="B59:J59" si="5">B58</f>
        <v>2.1593333333333331</v>
      </c>
      <c r="C59" s="46">
        <f t="shared" si="5"/>
        <v>4.5406666666666657</v>
      </c>
      <c r="D59" s="46">
        <f t="shared" si="5"/>
        <v>2.1593333333333331</v>
      </c>
      <c r="E59" s="46">
        <f t="shared" si="5"/>
        <v>2.1593333333333331</v>
      </c>
      <c r="F59" s="46">
        <f t="shared" si="5"/>
        <v>4.5406666666666657</v>
      </c>
      <c r="G59" s="46">
        <f t="shared" si="5"/>
        <v>2.1593333333333331</v>
      </c>
      <c r="H59" s="46">
        <f t="shared" si="5"/>
        <v>0</v>
      </c>
      <c r="I59" s="46">
        <f t="shared" si="5"/>
        <v>0</v>
      </c>
      <c r="J59" s="46">
        <f t="shared" si="5"/>
        <v>0</v>
      </c>
    </row>
    <row r="60" spans="1:10" ht="15.75" outlineLevel="1" x14ac:dyDescent="0.3">
      <c r="A60" s="1" t="s">
        <v>78</v>
      </c>
      <c r="B60" s="48">
        <v>0.9</v>
      </c>
      <c r="C60" s="46">
        <v>0.9</v>
      </c>
      <c r="D60" s="46">
        <v>0.9</v>
      </c>
      <c r="E60" s="46">
        <v>0.9</v>
      </c>
      <c r="F60" s="46">
        <v>0.9</v>
      </c>
      <c r="G60" s="46">
        <v>0.9</v>
      </c>
      <c r="H60" s="46"/>
      <c r="I60" s="46"/>
      <c r="J60" s="46"/>
    </row>
    <row r="61" spans="1:10" ht="15.75" outlineLevel="1" x14ac:dyDescent="0.3">
      <c r="A61" s="1" t="s">
        <v>104</v>
      </c>
      <c r="B61" s="26">
        <v>0.85</v>
      </c>
      <c r="C61" s="36">
        <v>0.85</v>
      </c>
      <c r="D61" s="36">
        <v>0.85</v>
      </c>
      <c r="E61" s="36">
        <v>0.85</v>
      </c>
      <c r="F61" s="36">
        <v>0.85</v>
      </c>
      <c r="G61" s="36">
        <v>0.85</v>
      </c>
      <c r="H61" s="36"/>
      <c r="I61" s="36"/>
      <c r="J61" s="36"/>
    </row>
    <row r="62" spans="1:10" outlineLevel="1" x14ac:dyDescent="0.25">
      <c r="A62" s="1" t="s">
        <v>106</v>
      </c>
      <c r="B62" s="48">
        <v>0</v>
      </c>
      <c r="C62" s="46">
        <v>0</v>
      </c>
      <c r="D62" s="46">
        <v>0</v>
      </c>
      <c r="E62" s="46">
        <v>0</v>
      </c>
      <c r="F62" s="46">
        <v>0</v>
      </c>
      <c r="G62" s="46">
        <v>0</v>
      </c>
      <c r="H62" s="46"/>
      <c r="I62" s="46"/>
      <c r="J62" s="46"/>
    </row>
    <row r="64" spans="1:10" ht="18" thickBot="1" x14ac:dyDescent="0.35">
      <c r="A64" s="20" t="s">
        <v>79</v>
      </c>
      <c r="B64" s="20"/>
      <c r="C64" s="20"/>
      <c r="D64" s="20"/>
      <c r="E64" s="20"/>
      <c r="F64" s="20"/>
      <c r="G64" s="20"/>
      <c r="H64" s="20"/>
      <c r="I64" s="20"/>
      <c r="J64" s="20"/>
    </row>
    <row r="65" spans="1:10" ht="15.75" outlineLevel="1" thickTop="1" x14ac:dyDescent="0.25">
      <c r="A65" s="21" t="s">
        <v>105</v>
      </c>
      <c r="B65" s="22">
        <f t="shared" ref="B65:J65" si="6">B10*B12*B11</f>
        <v>1040</v>
      </c>
      <c r="C65" s="22">
        <f t="shared" si="6"/>
        <v>1040</v>
      </c>
      <c r="D65" s="22">
        <f t="shared" si="6"/>
        <v>1040</v>
      </c>
      <c r="E65" s="22">
        <f t="shared" si="6"/>
        <v>1040</v>
      </c>
      <c r="F65" s="22">
        <f t="shared" si="6"/>
        <v>1040</v>
      </c>
      <c r="G65" s="22">
        <f t="shared" si="6"/>
        <v>1040</v>
      </c>
      <c r="H65" s="22">
        <f t="shared" si="6"/>
        <v>0</v>
      </c>
      <c r="I65" s="22">
        <f t="shared" si="6"/>
        <v>0</v>
      </c>
      <c r="J65" s="22">
        <f t="shared" si="6"/>
        <v>0</v>
      </c>
    </row>
    <row r="66" spans="1:10" ht="15.75" outlineLevel="1" x14ac:dyDescent="0.3">
      <c r="A66" s="21" t="s">
        <v>116</v>
      </c>
      <c r="B66" s="25">
        <f t="shared" ref="B66:G66" si="7">IFERROR(1/B59*B60*60,0)</f>
        <v>25.007718431614698</v>
      </c>
      <c r="C66" s="25">
        <f t="shared" si="7"/>
        <v>11.892526794890621</v>
      </c>
      <c r="D66" s="25">
        <f t="shared" si="7"/>
        <v>25.007718431614698</v>
      </c>
      <c r="E66" s="25">
        <f t="shared" si="7"/>
        <v>25.007718431614698</v>
      </c>
      <c r="F66" s="25">
        <f t="shared" si="7"/>
        <v>11.892526794890621</v>
      </c>
      <c r="G66" s="25">
        <f t="shared" si="7"/>
        <v>25.007718431614698</v>
      </c>
      <c r="H66" s="25">
        <f>IFERROR(1/H59*H60*60,0)</f>
        <v>0</v>
      </c>
      <c r="I66" s="25">
        <f>IFERROR(1/I59*I60*60,0)</f>
        <v>0</v>
      </c>
      <c r="J66" s="25">
        <f>IFERROR(1/J59*J60*60,0)</f>
        <v>0</v>
      </c>
    </row>
    <row r="67" spans="1:10" outlineLevel="1" x14ac:dyDescent="0.25">
      <c r="A67" s="21" t="s">
        <v>107</v>
      </c>
      <c r="B67" s="22">
        <f>Forutsetninger!$D$2/B66/B61+B62</f>
        <v>9.4088598402323882</v>
      </c>
      <c r="C67" s="22">
        <f>Forutsetninger!$D$2/C66/C61+C62</f>
        <v>19.785039941902685</v>
      </c>
      <c r="D67" s="22">
        <f>Forutsetninger!$D$2/D66/D61+D62</f>
        <v>9.4088598402323882</v>
      </c>
      <c r="E67" s="22">
        <f>Forutsetninger!$D$2/E66/E61+E62</f>
        <v>9.4088598402323882</v>
      </c>
      <c r="F67" s="22">
        <f>Forutsetninger!$D$2/F66/F61+F62</f>
        <v>19.785039941902685</v>
      </c>
      <c r="G67" s="22">
        <f>Forutsetninger!$D$2/G66/G61+G62</f>
        <v>9.4088598402323882</v>
      </c>
      <c r="H67" s="22">
        <f>IFERROR(Forutsetninger!$D$2/H66/H61+H62,0)</f>
        <v>0</v>
      </c>
      <c r="I67" s="22">
        <f>IFERROR(Forutsetninger!$D$2/I66/I61+I62,0)</f>
        <v>0</v>
      </c>
      <c r="J67" s="22">
        <f>IFERROR(Forutsetninger!$D$2/J66/J61+J62,0)</f>
        <v>0</v>
      </c>
    </row>
    <row r="68" spans="1:10" outlineLevel="1" x14ac:dyDescent="0.25">
      <c r="A68" s="21" t="s">
        <v>86</v>
      </c>
      <c r="B68" s="22">
        <f t="shared" ref="B68:G68" si="8">B65/B67</f>
        <v>110.53411546773697</v>
      </c>
      <c r="C68" s="22">
        <f t="shared" si="8"/>
        <v>52.564968433416539</v>
      </c>
      <c r="D68" s="22">
        <f t="shared" si="8"/>
        <v>110.53411546773697</v>
      </c>
      <c r="E68" s="22">
        <f t="shared" si="8"/>
        <v>110.53411546773697</v>
      </c>
      <c r="F68" s="22">
        <f t="shared" si="8"/>
        <v>52.564968433416539</v>
      </c>
      <c r="G68" s="22">
        <f t="shared" si="8"/>
        <v>110.53411546773697</v>
      </c>
      <c r="H68" s="22">
        <f>IFERROR(H65/H67,0)</f>
        <v>0</v>
      </c>
      <c r="I68" s="22">
        <f>IFERROR(I65/I67,0)</f>
        <v>0</v>
      </c>
      <c r="J68" s="22">
        <f>IFERROR(J65/J67,0)</f>
        <v>0</v>
      </c>
    </row>
    <row r="69" spans="1:10" ht="15.75" outlineLevel="1" x14ac:dyDescent="0.3">
      <c r="A69" s="21" t="s">
        <v>80</v>
      </c>
      <c r="B69" s="22">
        <f t="shared" ref="B69:J69" si="9">B10*B11*B12*B61-(B62*B68)</f>
        <v>884</v>
      </c>
      <c r="C69" s="22">
        <f t="shared" si="9"/>
        <v>884</v>
      </c>
      <c r="D69" s="22">
        <f t="shared" si="9"/>
        <v>884</v>
      </c>
      <c r="E69" s="22">
        <f t="shared" si="9"/>
        <v>884</v>
      </c>
      <c r="F69" s="22">
        <f t="shared" si="9"/>
        <v>884</v>
      </c>
      <c r="G69" s="22">
        <f t="shared" si="9"/>
        <v>884</v>
      </c>
      <c r="H69" s="22">
        <f t="shared" si="9"/>
        <v>0</v>
      </c>
      <c r="I69" s="22">
        <f t="shared" si="9"/>
        <v>0</v>
      </c>
      <c r="J69" s="22">
        <f t="shared" si="9"/>
        <v>0</v>
      </c>
    </row>
    <row r="70" spans="1:10" outlineLevel="1" x14ac:dyDescent="0.25">
      <c r="A70" s="21" t="s">
        <v>108</v>
      </c>
      <c r="B70" s="24">
        <f t="shared" ref="B70:G70" si="10">B69/B65</f>
        <v>0.85</v>
      </c>
      <c r="C70" s="24">
        <f t="shared" si="10"/>
        <v>0.85</v>
      </c>
      <c r="D70" s="24">
        <f t="shared" si="10"/>
        <v>0.85</v>
      </c>
      <c r="E70" s="24">
        <f t="shared" si="10"/>
        <v>0.85</v>
      </c>
      <c r="F70" s="24">
        <f t="shared" si="10"/>
        <v>0.85</v>
      </c>
      <c r="G70" s="24">
        <f t="shared" si="10"/>
        <v>0.85</v>
      </c>
      <c r="H70" s="24">
        <f>IFERROR(H69/H65,0)</f>
        <v>0</v>
      </c>
      <c r="I70" s="24">
        <f>IFERROR(I69/I65,0)</f>
        <v>0</v>
      </c>
      <c r="J70" s="24">
        <f>IFERROR(J69/J65,0)</f>
        <v>0</v>
      </c>
    </row>
    <row r="71" spans="1:10" outlineLevel="1" x14ac:dyDescent="0.25">
      <c r="A71" s="21" t="s">
        <v>81</v>
      </c>
      <c r="B71" s="22">
        <f t="shared" ref="B71:J71" si="11">B69*B66</f>
        <v>22106.823093547395</v>
      </c>
      <c r="C71" s="22">
        <f t="shared" si="11"/>
        <v>10512.993686683309</v>
      </c>
      <c r="D71" s="22">
        <f t="shared" si="11"/>
        <v>22106.823093547395</v>
      </c>
      <c r="E71" s="22">
        <f t="shared" si="11"/>
        <v>22106.823093547395</v>
      </c>
      <c r="F71" s="22">
        <f t="shared" si="11"/>
        <v>10512.993686683309</v>
      </c>
      <c r="G71" s="22">
        <f t="shared" si="11"/>
        <v>22106.823093547395</v>
      </c>
      <c r="H71" s="22">
        <f t="shared" si="11"/>
        <v>0</v>
      </c>
      <c r="I71" s="22">
        <f t="shared" si="11"/>
        <v>0</v>
      </c>
      <c r="J71" s="22">
        <f t="shared" si="11"/>
        <v>0</v>
      </c>
    </row>
    <row r="72" spans="1:10" x14ac:dyDescent="0.25">
      <c r="A72" s="21"/>
      <c r="B72" s="22"/>
      <c r="C72" s="22"/>
      <c r="D72" s="22"/>
      <c r="E72" s="22"/>
      <c r="F72" s="22"/>
      <c r="G72" s="22"/>
      <c r="H72" s="22"/>
      <c r="I72" s="22"/>
      <c r="J72" s="22"/>
    </row>
    <row r="73" spans="1:10" ht="18" thickBot="1" x14ac:dyDescent="0.35">
      <c r="A73" s="20" t="s">
        <v>75</v>
      </c>
      <c r="B73" s="27">
        <f t="shared" ref="B73:G73" si="12">B91</f>
        <v>1256801.4247873619</v>
      </c>
      <c r="C73" s="27">
        <f t="shared" si="12"/>
        <v>898507.09124571993</v>
      </c>
      <c r="D73" s="27">
        <f t="shared" si="12"/>
        <v>1085778.3136762506</v>
      </c>
      <c r="E73" s="27">
        <f t="shared" si="12"/>
        <v>1256801.4247873619</v>
      </c>
      <c r="F73" s="27">
        <f t="shared" si="12"/>
        <v>898507.09124571993</v>
      </c>
      <c r="G73" s="27">
        <f t="shared" si="12"/>
        <v>1085778.3136762506</v>
      </c>
      <c r="H73" s="27">
        <f>H91</f>
        <v>0</v>
      </c>
      <c r="I73" s="27">
        <f>I91</f>
        <v>0</v>
      </c>
      <c r="J73" s="27">
        <f>J91</f>
        <v>0</v>
      </c>
    </row>
    <row r="74" spans="1:10" ht="15.75" outlineLevel="1" thickTop="1" x14ac:dyDescent="0.25">
      <c r="A74" s="28" t="s">
        <v>77</v>
      </c>
      <c r="B74" s="22">
        <f t="shared" ref="B74:G74" si="13">(B15-B33-B35-(B15*B19))/B17 + (B16-(B16*B20))/B18</f>
        <v>206000</v>
      </c>
      <c r="C74" s="22">
        <f t="shared" si="13"/>
        <v>153000</v>
      </c>
      <c r="D74" s="22">
        <f t="shared" si="13"/>
        <v>165000</v>
      </c>
      <c r="E74" s="22">
        <f t="shared" si="13"/>
        <v>206000</v>
      </c>
      <c r="F74" s="22">
        <f t="shared" si="13"/>
        <v>153000</v>
      </c>
      <c r="G74" s="22">
        <f t="shared" si="13"/>
        <v>165000</v>
      </c>
      <c r="H74" s="22">
        <f>IFERROR((H15-H33-H35-(H15*H19))/H17 + (H16-(H16*H20))/H18,0)</f>
        <v>0</v>
      </c>
      <c r="I74" s="22">
        <f>IFERROR((I15-I33-I35-(I15*I19))/I17 + (I16-(I16*I20))/I18,0)</f>
        <v>0</v>
      </c>
      <c r="J74" s="22">
        <f>IFERROR((J15-J33-J35-(J15*J19))/J17 + (J16-(J16*J20))/J18,0)</f>
        <v>0</v>
      </c>
    </row>
    <row r="75" spans="1:10" ht="26.25" outlineLevel="1" x14ac:dyDescent="0.25">
      <c r="A75" s="28" t="s">
        <v>76</v>
      </c>
      <c r="B75" s="22">
        <f>(((B15*(B17+1))+((B15*B19)*(B17-1)))/(B17*2) + ((B16*(B18+1))+((B16*B20)*(B18-1)))/(B18*2))*Forutsetninger!$D$22</f>
        <v>86400</v>
      </c>
      <c r="C75" s="22">
        <f>(((C15*(C17+1))+((C15*C19)*(C17-1)))/(C17*2) + ((C16*(C18+1))+((C16*C20)*(C18-1)))/(C18*2))*Forutsetninger!$D$22</f>
        <v>64000</v>
      </c>
      <c r="D75" s="22">
        <f>(((D15*(D17+1))+((D15*D19)*(D17-1)))/(D17*2) + ((D16*(D18+1))+((D16*D20)*(D18-1)))/(D18*2))*Forutsetninger!$D$22</f>
        <v>67200</v>
      </c>
      <c r="E75" s="22">
        <f>(((E15*(E17+1))+((E15*E19)*(E17-1)))/(E17*2) + ((E16*(E18+1))+((E16*E20)*(E18-1)))/(E18*2))*Forutsetninger!$D$22</f>
        <v>86400</v>
      </c>
      <c r="F75" s="22">
        <f>(((F15*(F17+1))+((F15*F19)*(F17-1)))/(F17*2) + ((F16*(F18+1))+((F16*F20)*(F18-1)))/(F18*2))*Forutsetninger!$D$22</f>
        <v>64000</v>
      </c>
      <c r="G75" s="22">
        <f>(((G15*(G17+1))+((G15*G19)*(G17-1)))/(G17*2) + ((G16*(G18+1))+((G16*G20)*(G18-1)))/(G18*2))*Forutsetninger!$D$22</f>
        <v>67200</v>
      </c>
      <c r="H75" s="22">
        <f>IFERROR((((H15*(H17+1))+((H15*H19)*(H17-1)))/(H17*2) + ((H16*(H18+1))+((H16*H20)*(H18-1)))/(H18*2))*Forutsetninger!$D$22,0)</f>
        <v>0</v>
      </c>
      <c r="I75" s="22">
        <f>IFERROR((((I15*(I17+1))+((I15*I19)*(I17-1)))/(I17*2) + ((I16*(I18+1))+((I16*I20)*(I18-1)))/(I18*2))*Forutsetninger!$D$22,0)</f>
        <v>0</v>
      </c>
      <c r="J75" s="22">
        <f>IFERROR((((J15*(J17+1))+((J15*J19)*(J17-1)))/(J17*2) + ((J16*(J18+1))+((J16*J20)*(J18-1)))/(J18*2))*Forutsetninger!$D$22,0)</f>
        <v>0</v>
      </c>
    </row>
    <row r="76" spans="1:10" outlineLevel="1" x14ac:dyDescent="0.25">
      <c r="A76" s="21" t="s">
        <v>96</v>
      </c>
      <c r="B76" s="22">
        <f t="shared" ref="B76:J76" si="14">B22+B21</f>
        <v>29000</v>
      </c>
      <c r="C76" s="22">
        <f t="shared" si="14"/>
        <v>22000</v>
      </c>
      <c r="D76" s="22">
        <f t="shared" si="14"/>
        <v>23000</v>
      </c>
      <c r="E76" s="22">
        <f t="shared" si="14"/>
        <v>29000</v>
      </c>
      <c r="F76" s="22">
        <f t="shared" si="14"/>
        <v>22000</v>
      </c>
      <c r="G76" s="22">
        <f t="shared" si="14"/>
        <v>23000</v>
      </c>
      <c r="H76" s="22">
        <f t="shared" si="14"/>
        <v>0</v>
      </c>
      <c r="I76" s="22">
        <f t="shared" si="14"/>
        <v>0</v>
      </c>
      <c r="J76" s="22">
        <f t="shared" si="14"/>
        <v>0</v>
      </c>
    </row>
    <row r="77" spans="1:10" outlineLevel="1" x14ac:dyDescent="0.25">
      <c r="A77" s="29" t="s">
        <v>98</v>
      </c>
      <c r="B77" s="30">
        <f t="shared" ref="B77:G77" si="15">SUM(B74:B76)</f>
        <v>321400</v>
      </c>
      <c r="C77" s="30">
        <f t="shared" si="15"/>
        <v>239000</v>
      </c>
      <c r="D77" s="30">
        <f t="shared" si="15"/>
        <v>255200</v>
      </c>
      <c r="E77" s="30">
        <f t="shared" si="15"/>
        <v>321400</v>
      </c>
      <c r="F77" s="30">
        <f t="shared" si="15"/>
        <v>239000</v>
      </c>
      <c r="G77" s="30">
        <f t="shared" si="15"/>
        <v>255200</v>
      </c>
      <c r="H77" s="30">
        <f>SUM(H74:H76)</f>
        <v>0</v>
      </c>
      <c r="I77" s="30">
        <f>SUM(I74:I76)</f>
        <v>0</v>
      </c>
      <c r="J77" s="30">
        <f>SUM(J74:J76)</f>
        <v>0</v>
      </c>
    </row>
    <row r="78" spans="1:10" outlineLevel="1" x14ac:dyDescent="0.25">
      <c r="A78" s="21" t="s">
        <v>87</v>
      </c>
      <c r="B78" s="22">
        <f>B26*B69*Forutsetninger!$D$25</f>
        <v>334569.69000000006</v>
      </c>
      <c r="C78" s="22">
        <f>C26*C69*Forutsetninger!$D$25</f>
        <v>152946.144</v>
      </c>
      <c r="D78" s="22">
        <f>D26*D69*Forutsetninger!$D$25</f>
        <v>334569.69000000006</v>
      </c>
      <c r="E78" s="22">
        <f>E26*E69*Forutsetninger!$D$25</f>
        <v>334569.69000000006</v>
      </c>
      <c r="F78" s="22">
        <f>F26*F69*Forutsetninger!$D$25</f>
        <v>152946.144</v>
      </c>
      <c r="G78" s="22">
        <f>G26*G69*Forutsetninger!$D$25</f>
        <v>334569.69000000006</v>
      </c>
      <c r="H78" s="22">
        <f>H26*H69*Forutsetninger!$D$25</f>
        <v>0</v>
      </c>
      <c r="I78" s="22">
        <f>I26*I69*Forutsetninger!$D$25</f>
        <v>0</v>
      </c>
      <c r="J78" s="22">
        <f>J26*J69*Forutsetninger!$D$25</f>
        <v>0</v>
      </c>
    </row>
    <row r="79" spans="1:10" outlineLevel="1" x14ac:dyDescent="0.25">
      <c r="A79" s="28" t="s">
        <v>88</v>
      </c>
      <c r="B79" s="22">
        <f t="shared" ref="B79:J79" si="16">B78*B28</f>
        <v>20074.181400000001</v>
      </c>
      <c r="C79" s="22">
        <f t="shared" si="16"/>
        <v>9176.7686400000002</v>
      </c>
      <c r="D79" s="22">
        <f t="shared" si="16"/>
        <v>20074.181400000001</v>
      </c>
      <c r="E79" s="22">
        <f t="shared" si="16"/>
        <v>20074.181400000001</v>
      </c>
      <c r="F79" s="22">
        <f t="shared" si="16"/>
        <v>9176.7686400000002</v>
      </c>
      <c r="G79" s="22">
        <f t="shared" si="16"/>
        <v>20074.181400000001</v>
      </c>
      <c r="H79" s="22">
        <f t="shared" si="16"/>
        <v>0</v>
      </c>
      <c r="I79" s="22">
        <f t="shared" si="16"/>
        <v>0</v>
      </c>
      <c r="J79" s="22">
        <f t="shared" si="16"/>
        <v>0</v>
      </c>
    </row>
    <row r="80" spans="1:10" outlineLevel="1" x14ac:dyDescent="0.25">
      <c r="A80" s="28" t="s">
        <v>89</v>
      </c>
      <c r="B80" s="22">
        <f t="shared" ref="B80:G80" si="17">(B15-B33-B35)*B29/B17</f>
        <v>88000</v>
      </c>
      <c r="C80" s="22">
        <f t="shared" si="17"/>
        <v>74400</v>
      </c>
      <c r="D80" s="22">
        <f t="shared" si="17"/>
        <v>5600</v>
      </c>
      <c r="E80" s="22">
        <f t="shared" si="17"/>
        <v>88000</v>
      </c>
      <c r="F80" s="22">
        <f t="shared" si="17"/>
        <v>74400</v>
      </c>
      <c r="G80" s="22">
        <f t="shared" si="17"/>
        <v>5600</v>
      </c>
      <c r="H80" s="22">
        <f>IFERROR((H15-H33-H35)*H29/H17,0)</f>
        <v>0</v>
      </c>
      <c r="I80" s="22">
        <f>IFERROR((I15-I33-I35)*I29/I17,0)</f>
        <v>0</v>
      </c>
      <c r="J80" s="22">
        <f>IFERROR((J15-J33-J35)*J29/J17,0)</f>
        <v>0</v>
      </c>
    </row>
    <row r="81" spans="1:10" outlineLevel="1" x14ac:dyDescent="0.25">
      <c r="A81" s="21" t="s">
        <v>90</v>
      </c>
      <c r="B81" s="22">
        <f t="shared" ref="B81:G81" si="18">((B33/B34)+(B35/B36))*B69</f>
        <v>9016.7999999999993</v>
      </c>
      <c r="C81" s="22">
        <f t="shared" si="18"/>
        <v>6070.1333333333341</v>
      </c>
      <c r="D81" s="22">
        <f t="shared" si="18"/>
        <v>2141.2444444444445</v>
      </c>
      <c r="E81" s="22">
        <f t="shared" si="18"/>
        <v>9016.7999999999993</v>
      </c>
      <c r="F81" s="22">
        <f t="shared" si="18"/>
        <v>6070.1333333333341</v>
      </c>
      <c r="G81" s="22">
        <f t="shared" si="18"/>
        <v>2141.2444444444445</v>
      </c>
      <c r="H81" s="22">
        <f>IFERROR(((H33/H34)+(H35/H36))*H69,0)</f>
        <v>0</v>
      </c>
      <c r="I81" s="22">
        <f>IFERROR(((I33/I34)+(I35/I36))*I69,0)</f>
        <v>0</v>
      </c>
      <c r="J81" s="22">
        <f>IFERROR(((J33/J34)+(J35/J36))*J69,0)</f>
        <v>0</v>
      </c>
    </row>
    <row r="82" spans="1:10" outlineLevel="1" x14ac:dyDescent="0.25">
      <c r="A82" s="21" t="s">
        <v>168</v>
      </c>
      <c r="B82" s="22">
        <f t="shared" ref="B82:G82" si="19">((B37/B38)+(B39/B40))*B69 + ((B41*B42)+(B43/B44) + B45)*B71</f>
        <v>55267.057733868489</v>
      </c>
      <c r="C82" s="22">
        <f t="shared" si="19"/>
        <v>26282.484216708272</v>
      </c>
      <c r="D82" s="22">
        <f t="shared" si="19"/>
        <v>55267.057733868489</v>
      </c>
      <c r="E82" s="22">
        <f t="shared" si="19"/>
        <v>55267.057733868489</v>
      </c>
      <c r="F82" s="22">
        <f t="shared" si="19"/>
        <v>26282.484216708272</v>
      </c>
      <c r="G82" s="22">
        <f t="shared" si="19"/>
        <v>55267.057733868489</v>
      </c>
      <c r="H82" s="22">
        <f>IFERROR(((H37/H38)+(H39/H40))*H69 + ((H41*H42)+(H43/H44) + H45)*H71,0)</f>
        <v>0</v>
      </c>
      <c r="I82" s="22">
        <f>IFERROR(((I37/I38)+(I39/I40))*I69 + ((I41*I42)+(I43/I44) + I45)*I71,0)</f>
        <v>0</v>
      </c>
      <c r="J82" s="22">
        <f>IFERROR(((J37/J38)+(J39/J40))*J69 + ((J41*J42)+(J43/J44) + J45)*J71,0)</f>
        <v>0</v>
      </c>
    </row>
    <row r="83" spans="1:10" outlineLevel="1" x14ac:dyDescent="0.25">
      <c r="A83" s="31" t="s">
        <v>97</v>
      </c>
      <c r="B83" s="30">
        <f t="shared" ref="B83:H83" si="20">SUM(B78:B82)</f>
        <v>506927.72913386853</v>
      </c>
      <c r="C83" s="30">
        <f t="shared" si="20"/>
        <v>268875.53019004158</v>
      </c>
      <c r="D83" s="30">
        <f t="shared" si="20"/>
        <v>417652.17357831297</v>
      </c>
      <c r="E83" s="30">
        <f t="shared" si="20"/>
        <v>506927.72913386853</v>
      </c>
      <c r="F83" s="30">
        <f t="shared" si="20"/>
        <v>268875.53019004158</v>
      </c>
      <c r="G83" s="30">
        <f t="shared" si="20"/>
        <v>417652.17357831297</v>
      </c>
      <c r="H83" s="30">
        <f t="shared" si="20"/>
        <v>0</v>
      </c>
      <c r="I83" s="30">
        <f>SUM(I78:I82)</f>
        <v>0</v>
      </c>
      <c r="J83" s="30">
        <f>SUM(J78:J82)</f>
        <v>0</v>
      </c>
    </row>
    <row r="84" spans="1:10" outlineLevel="1" x14ac:dyDescent="0.25">
      <c r="A84" s="21" t="s">
        <v>337</v>
      </c>
      <c r="B84" s="22">
        <f t="shared" ref="B84:J84" si="21">B10*B11*B50*B51</f>
        <v>256970.46472121149</v>
      </c>
      <c r="C84" s="22">
        <f t="shared" si="21"/>
        <v>256970.46472121149</v>
      </c>
      <c r="D84" s="22">
        <f t="shared" si="21"/>
        <v>256970.46472121149</v>
      </c>
      <c r="E84" s="22">
        <f t="shared" si="21"/>
        <v>256970.46472121149</v>
      </c>
      <c r="F84" s="22">
        <f t="shared" si="21"/>
        <v>256970.46472121149</v>
      </c>
      <c r="G84" s="22">
        <f t="shared" si="21"/>
        <v>256970.46472121149</v>
      </c>
      <c r="H84" s="22">
        <f t="shared" si="21"/>
        <v>0</v>
      </c>
      <c r="I84" s="22">
        <f t="shared" si="21"/>
        <v>0</v>
      </c>
      <c r="J84" s="22">
        <f t="shared" si="21"/>
        <v>0</v>
      </c>
    </row>
    <row r="85" spans="1:10" outlineLevel="1" x14ac:dyDescent="0.25">
      <c r="A85" s="21" t="s">
        <v>94</v>
      </c>
      <c r="B85" s="22">
        <f>B53*B10*B11*Forutsetninger!$D$21</f>
        <v>0</v>
      </c>
      <c r="C85" s="22">
        <f>C53*C10*C11*Forutsetninger!$D$21</f>
        <v>0</v>
      </c>
      <c r="D85" s="22">
        <f>D53*D10*D11*Forutsetninger!$D$21</f>
        <v>0</v>
      </c>
      <c r="E85" s="22">
        <f>E53*E10*E11*Forutsetninger!$D$21</f>
        <v>0</v>
      </c>
      <c r="F85" s="22">
        <f>F53*F10*F11*Forutsetninger!$D$21</f>
        <v>0</v>
      </c>
      <c r="G85" s="22">
        <f>G53*G10*G11*Forutsetninger!$D$21</f>
        <v>0</v>
      </c>
      <c r="H85" s="22">
        <f>H53*H10*H11*Forutsetninger!$D$21</f>
        <v>0</v>
      </c>
      <c r="I85" s="22">
        <f>I53*I10*I11*Forutsetninger!$D$21</f>
        <v>0</v>
      </c>
      <c r="J85" s="22">
        <f>J53*J10*J11*Forutsetninger!$D$21</f>
        <v>0</v>
      </c>
    </row>
    <row r="86" spans="1:10" outlineLevel="1" x14ac:dyDescent="0.25">
      <c r="A86" s="21" t="s">
        <v>38</v>
      </c>
      <c r="B86" s="22">
        <f t="shared" ref="B86:J86" si="22">B52*B10*B11+B54</f>
        <v>16000</v>
      </c>
      <c r="C86" s="22">
        <f t="shared" si="22"/>
        <v>16000</v>
      </c>
      <c r="D86" s="22">
        <f>D52*D10*D11+D54</f>
        <v>16000</v>
      </c>
      <c r="E86" s="22">
        <f t="shared" si="22"/>
        <v>16000</v>
      </c>
      <c r="F86" s="22">
        <f t="shared" si="22"/>
        <v>16000</v>
      </c>
      <c r="G86" s="22">
        <f t="shared" si="22"/>
        <v>16000</v>
      </c>
      <c r="H86" s="22">
        <f t="shared" si="22"/>
        <v>0</v>
      </c>
      <c r="I86" s="22">
        <f t="shared" si="22"/>
        <v>0</v>
      </c>
      <c r="J86" s="22">
        <f t="shared" si="22"/>
        <v>0</v>
      </c>
    </row>
    <row r="87" spans="1:10" outlineLevel="1" x14ac:dyDescent="0.25">
      <c r="A87" s="21" t="s">
        <v>92</v>
      </c>
      <c r="B87" s="22">
        <f t="shared" ref="B87:J87" si="23">B55*B65</f>
        <v>31200</v>
      </c>
      <c r="C87" s="22">
        <f t="shared" si="23"/>
        <v>31200</v>
      </c>
      <c r="D87" s="22">
        <f t="shared" si="23"/>
        <v>31200</v>
      </c>
      <c r="E87" s="22">
        <f t="shared" si="23"/>
        <v>31200</v>
      </c>
      <c r="F87" s="22">
        <f t="shared" si="23"/>
        <v>31200</v>
      </c>
      <c r="G87" s="22">
        <f t="shared" si="23"/>
        <v>31200</v>
      </c>
      <c r="H87" s="22">
        <f t="shared" si="23"/>
        <v>0</v>
      </c>
      <c r="I87" s="22">
        <f t="shared" si="23"/>
        <v>0</v>
      </c>
      <c r="J87" s="22">
        <f t="shared" si="23"/>
        <v>0</v>
      </c>
    </row>
    <row r="88" spans="1:10" outlineLevel="1" x14ac:dyDescent="0.25">
      <c r="A88" s="31" t="s">
        <v>99</v>
      </c>
      <c r="B88" s="30">
        <f t="shared" ref="B88:H88" si="24">SUM(B84:B87)</f>
        <v>304170.46472121147</v>
      </c>
      <c r="C88" s="30">
        <f t="shared" si="24"/>
        <v>304170.46472121147</v>
      </c>
      <c r="D88" s="30">
        <f t="shared" si="24"/>
        <v>304170.46472121147</v>
      </c>
      <c r="E88" s="30">
        <f t="shared" si="24"/>
        <v>304170.46472121147</v>
      </c>
      <c r="F88" s="30">
        <f t="shared" si="24"/>
        <v>304170.46472121147</v>
      </c>
      <c r="G88" s="30">
        <f t="shared" si="24"/>
        <v>304170.46472121147</v>
      </c>
      <c r="H88" s="30">
        <f t="shared" si="24"/>
        <v>0</v>
      </c>
      <c r="I88" s="30">
        <f>SUM(I84:I87)</f>
        <v>0</v>
      </c>
      <c r="J88" s="30">
        <f>SUM(J84:J87)</f>
        <v>0</v>
      </c>
    </row>
    <row r="89" spans="1:10" outlineLevel="1" x14ac:dyDescent="0.25">
      <c r="A89" s="31" t="s">
        <v>112</v>
      </c>
      <c r="B89" s="30">
        <f t="shared" ref="B89:J89" si="25">B46*B68</f>
        <v>11053.411546773697</v>
      </c>
      <c r="C89" s="30">
        <f t="shared" si="25"/>
        <v>5256.4968433416543</v>
      </c>
      <c r="D89" s="30">
        <f t="shared" si="25"/>
        <v>11053.411546773697</v>
      </c>
      <c r="E89" s="30">
        <f t="shared" si="25"/>
        <v>11053.411546773697</v>
      </c>
      <c r="F89" s="30">
        <f t="shared" si="25"/>
        <v>5256.4968433416543</v>
      </c>
      <c r="G89" s="30">
        <f t="shared" si="25"/>
        <v>11053.411546773697</v>
      </c>
      <c r="H89" s="30">
        <f t="shared" si="25"/>
        <v>0</v>
      </c>
      <c r="I89" s="30">
        <f t="shared" si="25"/>
        <v>0</v>
      </c>
      <c r="J89" s="30">
        <f t="shared" si="25"/>
        <v>0</v>
      </c>
    </row>
    <row r="90" spans="1:10" outlineLevel="1" x14ac:dyDescent="0.25">
      <c r="A90" s="31" t="s">
        <v>109</v>
      </c>
      <c r="B90" s="30">
        <f>(B88+B83+B77)*Forutsetninger!$D24</f>
        <v>113249.81938550802</v>
      </c>
      <c r="C90" s="30">
        <f>(C88+C83+C77)*Forutsetninger!$D24</f>
        <v>81204.599491125307</v>
      </c>
      <c r="D90" s="30">
        <f>(D88+D83+D77)*Forutsetninger!$D24</f>
        <v>97702.263829952455</v>
      </c>
      <c r="E90" s="30">
        <f>(E88+E83+E77)*Forutsetninger!$D24</f>
        <v>113249.81938550802</v>
      </c>
      <c r="F90" s="30">
        <f>(F88+F83+F77)*Forutsetninger!$D24</f>
        <v>81204.599491125307</v>
      </c>
      <c r="G90" s="30">
        <f>(G88+G83+G77)*Forutsetninger!$D24</f>
        <v>97702.263829952455</v>
      </c>
      <c r="H90" s="30">
        <f>(H88+H83+H77)*Forutsetninger!$D24</f>
        <v>0</v>
      </c>
      <c r="I90" s="30">
        <f>(I88+I83+I77)*Forutsetninger!$D24</f>
        <v>0</v>
      </c>
      <c r="J90" s="30">
        <f>(J88+J83+J77)*Forutsetninger!$D24</f>
        <v>0</v>
      </c>
    </row>
    <row r="91" spans="1:10" ht="15.75" outlineLevel="1" thickBot="1" x14ac:dyDescent="0.3">
      <c r="A91" s="32" t="s">
        <v>100</v>
      </c>
      <c r="B91" s="33">
        <f t="shared" ref="B91:H91" si="26">B88+B83+B77+B90+B89</f>
        <v>1256801.4247873619</v>
      </c>
      <c r="C91" s="33">
        <f t="shared" si="26"/>
        <v>898507.09124571993</v>
      </c>
      <c r="D91" s="33">
        <f t="shared" si="26"/>
        <v>1085778.3136762506</v>
      </c>
      <c r="E91" s="33">
        <f t="shared" si="26"/>
        <v>1256801.4247873619</v>
      </c>
      <c r="F91" s="33">
        <f t="shared" si="26"/>
        <v>898507.09124571993</v>
      </c>
      <c r="G91" s="33">
        <f t="shared" si="26"/>
        <v>1085778.3136762506</v>
      </c>
      <c r="H91" s="33">
        <f t="shared" si="26"/>
        <v>0</v>
      </c>
      <c r="I91" s="33">
        <f>I88+I83+I77+I90+I89</f>
        <v>0</v>
      </c>
      <c r="J91" s="33">
        <f>J88+J83+J77+J90+J89</f>
        <v>0</v>
      </c>
    </row>
    <row r="92" spans="1:10" x14ac:dyDescent="0.25">
      <c r="A92" s="26"/>
      <c r="B92" s="22"/>
      <c r="C92" s="22"/>
      <c r="D92" s="22"/>
      <c r="E92" s="22"/>
      <c r="F92" s="22"/>
      <c r="G92" s="22"/>
      <c r="H92" s="22"/>
      <c r="I92" s="22"/>
      <c r="J92" s="22"/>
    </row>
    <row r="93" spans="1:10" ht="19.5" thickBot="1" x14ac:dyDescent="0.4">
      <c r="A93" s="20" t="s">
        <v>95</v>
      </c>
      <c r="B93" s="27">
        <f t="shared" ref="B93:G93" si="27">B111</f>
        <v>1421.721068763984</v>
      </c>
      <c r="C93" s="27">
        <f t="shared" si="27"/>
        <v>1016.4107367033031</v>
      </c>
      <c r="D93" s="27">
        <f t="shared" si="27"/>
        <v>1228.2560109459848</v>
      </c>
      <c r="E93" s="27">
        <f t="shared" si="27"/>
        <v>1421.721068763984</v>
      </c>
      <c r="F93" s="27">
        <f t="shared" si="27"/>
        <v>1016.4107367033031</v>
      </c>
      <c r="G93" s="27">
        <f t="shared" si="27"/>
        <v>1228.2560109459848</v>
      </c>
      <c r="H93" s="27">
        <f>H111</f>
        <v>0</v>
      </c>
      <c r="I93" s="27">
        <f>I111</f>
        <v>0</v>
      </c>
      <c r="J93" s="27">
        <f>J111</f>
        <v>0</v>
      </c>
    </row>
    <row r="94" spans="1:10" ht="15.75" outlineLevel="1" thickTop="1" x14ac:dyDescent="0.25">
      <c r="A94" s="28" t="s">
        <v>77</v>
      </c>
      <c r="B94" s="22">
        <f t="shared" ref="B94:G109" si="28">IFERROR(B74/B$69,0)</f>
        <v>233.03167420814481</v>
      </c>
      <c r="C94" s="22">
        <f t="shared" si="28"/>
        <v>173.07692307692307</v>
      </c>
      <c r="D94" s="22">
        <f t="shared" si="28"/>
        <v>186.65158371040724</v>
      </c>
      <c r="E94" s="22">
        <f t="shared" si="28"/>
        <v>233.03167420814481</v>
      </c>
      <c r="F94" s="22">
        <f t="shared" si="28"/>
        <v>173.07692307692307</v>
      </c>
      <c r="G94" s="22">
        <f t="shared" si="28"/>
        <v>186.65158371040724</v>
      </c>
      <c r="H94" s="22">
        <f t="shared" ref="H94:H111" si="29">IFERROR(H74/H$69,0)</f>
        <v>0</v>
      </c>
      <c r="I94" s="22">
        <f t="shared" ref="I94:J111" si="30">IFERROR(I74/I$69,0)</f>
        <v>0</v>
      </c>
      <c r="J94" s="22">
        <f t="shared" si="30"/>
        <v>0</v>
      </c>
    </row>
    <row r="95" spans="1:10" ht="26.25" outlineLevel="1" x14ac:dyDescent="0.25">
      <c r="A95" s="28" t="s">
        <v>76</v>
      </c>
      <c r="B95" s="22">
        <f t="shared" si="28"/>
        <v>97.737556561085967</v>
      </c>
      <c r="C95" s="22">
        <f t="shared" si="28"/>
        <v>72.398190045248867</v>
      </c>
      <c r="D95" s="22">
        <f t="shared" si="28"/>
        <v>76.018099547511312</v>
      </c>
      <c r="E95" s="22">
        <f t="shared" si="28"/>
        <v>97.737556561085967</v>
      </c>
      <c r="F95" s="22">
        <f t="shared" si="28"/>
        <v>72.398190045248867</v>
      </c>
      <c r="G95" s="22">
        <f t="shared" si="28"/>
        <v>76.018099547511312</v>
      </c>
      <c r="H95" s="22">
        <f t="shared" si="29"/>
        <v>0</v>
      </c>
      <c r="I95" s="22">
        <f t="shared" si="30"/>
        <v>0</v>
      </c>
      <c r="J95" s="22">
        <f t="shared" si="30"/>
        <v>0</v>
      </c>
    </row>
    <row r="96" spans="1:10" outlineLevel="1" x14ac:dyDescent="0.25">
      <c r="A96" s="21" t="s">
        <v>96</v>
      </c>
      <c r="B96" s="22">
        <f t="shared" si="28"/>
        <v>32.805429864253391</v>
      </c>
      <c r="C96" s="22">
        <f t="shared" si="28"/>
        <v>24.886877828054299</v>
      </c>
      <c r="D96" s="22">
        <f t="shared" si="28"/>
        <v>26.018099547511312</v>
      </c>
      <c r="E96" s="22">
        <f t="shared" si="28"/>
        <v>32.805429864253391</v>
      </c>
      <c r="F96" s="22">
        <f t="shared" si="28"/>
        <v>24.886877828054299</v>
      </c>
      <c r="G96" s="22">
        <f t="shared" si="28"/>
        <v>26.018099547511312</v>
      </c>
      <c r="H96" s="22">
        <f t="shared" si="29"/>
        <v>0</v>
      </c>
      <c r="I96" s="22">
        <f t="shared" si="30"/>
        <v>0</v>
      </c>
      <c r="J96" s="22">
        <f t="shared" si="30"/>
        <v>0</v>
      </c>
    </row>
    <row r="97" spans="1:10" outlineLevel="1" x14ac:dyDescent="0.25">
      <c r="A97" s="29" t="s">
        <v>98</v>
      </c>
      <c r="B97" s="30">
        <f t="shared" si="28"/>
        <v>363.57466063348414</v>
      </c>
      <c r="C97" s="30">
        <f t="shared" si="28"/>
        <v>270.36199095022624</v>
      </c>
      <c r="D97" s="30">
        <f t="shared" si="28"/>
        <v>288.68778280542989</v>
      </c>
      <c r="E97" s="30">
        <f t="shared" si="28"/>
        <v>363.57466063348414</v>
      </c>
      <c r="F97" s="30">
        <f t="shared" si="28"/>
        <v>270.36199095022624</v>
      </c>
      <c r="G97" s="30">
        <f t="shared" si="28"/>
        <v>288.68778280542989</v>
      </c>
      <c r="H97" s="30">
        <f t="shared" si="29"/>
        <v>0</v>
      </c>
      <c r="I97" s="30">
        <f t="shared" si="30"/>
        <v>0</v>
      </c>
      <c r="J97" s="30">
        <f t="shared" si="30"/>
        <v>0</v>
      </c>
    </row>
    <row r="98" spans="1:10" outlineLevel="1" x14ac:dyDescent="0.25">
      <c r="A98" s="21" t="s">
        <v>87</v>
      </c>
      <c r="B98" s="22">
        <f t="shared" si="28"/>
        <v>378.47250000000008</v>
      </c>
      <c r="C98" s="22">
        <f t="shared" si="28"/>
        <v>173.01599999999999</v>
      </c>
      <c r="D98" s="22">
        <f t="shared" si="28"/>
        <v>378.47250000000008</v>
      </c>
      <c r="E98" s="22">
        <f t="shared" si="28"/>
        <v>378.47250000000008</v>
      </c>
      <c r="F98" s="22">
        <f t="shared" si="28"/>
        <v>173.01599999999999</v>
      </c>
      <c r="G98" s="22">
        <f t="shared" si="28"/>
        <v>378.47250000000008</v>
      </c>
      <c r="H98" s="22">
        <f t="shared" si="29"/>
        <v>0</v>
      </c>
      <c r="I98" s="22">
        <f t="shared" si="30"/>
        <v>0</v>
      </c>
      <c r="J98" s="22">
        <f t="shared" si="30"/>
        <v>0</v>
      </c>
    </row>
    <row r="99" spans="1:10" outlineLevel="1" x14ac:dyDescent="0.25">
      <c r="A99" s="28" t="s">
        <v>88</v>
      </c>
      <c r="B99" s="22">
        <f t="shared" si="28"/>
        <v>22.708350000000003</v>
      </c>
      <c r="C99" s="22">
        <f t="shared" si="28"/>
        <v>10.38096</v>
      </c>
      <c r="D99" s="22">
        <f t="shared" si="28"/>
        <v>22.708350000000003</v>
      </c>
      <c r="E99" s="22">
        <f t="shared" si="28"/>
        <v>22.708350000000003</v>
      </c>
      <c r="F99" s="22">
        <f t="shared" si="28"/>
        <v>10.38096</v>
      </c>
      <c r="G99" s="22">
        <f t="shared" si="28"/>
        <v>22.708350000000003</v>
      </c>
      <c r="H99" s="22">
        <f t="shared" si="29"/>
        <v>0</v>
      </c>
      <c r="I99" s="22">
        <f t="shared" si="30"/>
        <v>0</v>
      </c>
      <c r="J99" s="22">
        <f t="shared" si="30"/>
        <v>0</v>
      </c>
    </row>
    <row r="100" spans="1:10" outlineLevel="1" x14ac:dyDescent="0.25">
      <c r="A100" s="28" t="s">
        <v>89</v>
      </c>
      <c r="B100" s="22">
        <f t="shared" si="28"/>
        <v>99.547511312217196</v>
      </c>
      <c r="C100" s="22">
        <f t="shared" si="28"/>
        <v>84.162895927601809</v>
      </c>
      <c r="D100" s="22">
        <f t="shared" si="28"/>
        <v>6.3348416289592757</v>
      </c>
      <c r="E100" s="22">
        <f t="shared" si="28"/>
        <v>99.547511312217196</v>
      </c>
      <c r="F100" s="22">
        <f t="shared" si="28"/>
        <v>84.162895927601809</v>
      </c>
      <c r="G100" s="22">
        <f t="shared" si="28"/>
        <v>6.3348416289592757</v>
      </c>
      <c r="H100" s="22">
        <f t="shared" si="29"/>
        <v>0</v>
      </c>
      <c r="I100" s="22">
        <f t="shared" si="30"/>
        <v>0</v>
      </c>
      <c r="J100" s="22">
        <f t="shared" si="30"/>
        <v>0</v>
      </c>
    </row>
    <row r="101" spans="1:10" outlineLevel="1" x14ac:dyDescent="0.25">
      <c r="A101" s="21" t="s">
        <v>168</v>
      </c>
      <c r="B101" s="22">
        <f t="shared" si="28"/>
        <v>10.199999999999999</v>
      </c>
      <c r="C101" s="22">
        <f t="shared" si="28"/>
        <v>6.8666666666666671</v>
      </c>
      <c r="D101" s="22">
        <f t="shared" si="28"/>
        <v>2.4222222222222225</v>
      </c>
      <c r="E101" s="22">
        <f t="shared" si="28"/>
        <v>10.199999999999999</v>
      </c>
      <c r="F101" s="22">
        <f t="shared" si="28"/>
        <v>6.8666666666666671</v>
      </c>
      <c r="G101" s="22">
        <f t="shared" si="28"/>
        <v>2.4222222222222225</v>
      </c>
      <c r="H101" s="22">
        <f t="shared" si="29"/>
        <v>0</v>
      </c>
      <c r="I101" s="22">
        <f t="shared" si="30"/>
        <v>0</v>
      </c>
      <c r="J101" s="22">
        <f t="shared" si="30"/>
        <v>0</v>
      </c>
    </row>
    <row r="102" spans="1:10" outlineLevel="1" x14ac:dyDescent="0.25">
      <c r="A102" s="21" t="s">
        <v>91</v>
      </c>
      <c r="B102" s="22">
        <f t="shared" si="28"/>
        <v>62.519296079036749</v>
      </c>
      <c r="C102" s="22">
        <f t="shared" si="28"/>
        <v>29.731316987226553</v>
      </c>
      <c r="D102" s="22">
        <f t="shared" si="28"/>
        <v>62.519296079036749</v>
      </c>
      <c r="E102" s="22">
        <f t="shared" si="28"/>
        <v>62.519296079036749</v>
      </c>
      <c r="F102" s="22">
        <f t="shared" si="28"/>
        <v>29.731316987226553</v>
      </c>
      <c r="G102" s="22">
        <f t="shared" si="28"/>
        <v>62.519296079036749</v>
      </c>
      <c r="H102" s="22">
        <f t="shared" si="29"/>
        <v>0</v>
      </c>
      <c r="I102" s="22">
        <f t="shared" si="30"/>
        <v>0</v>
      </c>
      <c r="J102" s="22">
        <f t="shared" si="30"/>
        <v>0</v>
      </c>
    </row>
    <row r="103" spans="1:10" outlineLevel="1" x14ac:dyDescent="0.25">
      <c r="A103" s="31" t="s">
        <v>97</v>
      </c>
      <c r="B103" s="30">
        <f t="shared" si="28"/>
        <v>573.44765739125398</v>
      </c>
      <c r="C103" s="30">
        <f t="shared" si="28"/>
        <v>304.15783958149501</v>
      </c>
      <c r="D103" s="30">
        <f t="shared" si="28"/>
        <v>472.45720993021831</v>
      </c>
      <c r="E103" s="30">
        <f t="shared" si="28"/>
        <v>573.44765739125398</v>
      </c>
      <c r="F103" s="30">
        <f t="shared" si="28"/>
        <v>304.15783958149501</v>
      </c>
      <c r="G103" s="30">
        <f t="shared" si="28"/>
        <v>472.45720993021831</v>
      </c>
      <c r="H103" s="30">
        <f t="shared" si="29"/>
        <v>0</v>
      </c>
      <c r="I103" s="30">
        <f t="shared" si="30"/>
        <v>0</v>
      </c>
      <c r="J103" s="30">
        <f t="shared" si="30"/>
        <v>0</v>
      </c>
    </row>
    <row r="104" spans="1:10" outlineLevel="1" x14ac:dyDescent="0.25">
      <c r="A104" s="21" t="s">
        <v>337</v>
      </c>
      <c r="B104" s="22">
        <f t="shared" si="28"/>
        <v>290.69057095159673</v>
      </c>
      <c r="C104" s="22">
        <f t="shared" si="28"/>
        <v>290.69057095159673</v>
      </c>
      <c r="D104" s="22">
        <f t="shared" si="28"/>
        <v>290.69057095159673</v>
      </c>
      <c r="E104" s="22">
        <f t="shared" si="28"/>
        <v>290.69057095159673</v>
      </c>
      <c r="F104" s="22">
        <f t="shared" si="28"/>
        <v>290.69057095159673</v>
      </c>
      <c r="G104" s="22">
        <f t="shared" si="28"/>
        <v>290.69057095159673</v>
      </c>
      <c r="H104" s="22">
        <f t="shared" si="29"/>
        <v>0</v>
      </c>
      <c r="I104" s="22">
        <f t="shared" si="30"/>
        <v>0</v>
      </c>
      <c r="J104" s="22">
        <f t="shared" si="30"/>
        <v>0</v>
      </c>
    </row>
    <row r="105" spans="1:10" outlineLevel="1" x14ac:dyDescent="0.25">
      <c r="A105" s="21" t="s">
        <v>94</v>
      </c>
      <c r="B105" s="22">
        <f t="shared" si="28"/>
        <v>0</v>
      </c>
      <c r="C105" s="22">
        <f t="shared" si="28"/>
        <v>0</v>
      </c>
      <c r="D105" s="22">
        <f t="shared" si="28"/>
        <v>0</v>
      </c>
      <c r="E105" s="22">
        <f t="shared" si="28"/>
        <v>0</v>
      </c>
      <c r="F105" s="22">
        <f t="shared" si="28"/>
        <v>0</v>
      </c>
      <c r="G105" s="22">
        <f t="shared" si="28"/>
        <v>0</v>
      </c>
      <c r="H105" s="22">
        <f t="shared" si="29"/>
        <v>0</v>
      </c>
      <c r="I105" s="22">
        <f t="shared" si="30"/>
        <v>0</v>
      </c>
      <c r="J105" s="22">
        <f t="shared" si="30"/>
        <v>0</v>
      </c>
    </row>
    <row r="106" spans="1:10" outlineLevel="1" x14ac:dyDescent="0.25">
      <c r="A106" s="21" t="s">
        <v>38</v>
      </c>
      <c r="B106" s="22">
        <f t="shared" si="28"/>
        <v>18.099547511312217</v>
      </c>
      <c r="C106" s="22">
        <f t="shared" si="28"/>
        <v>18.099547511312217</v>
      </c>
      <c r="D106" s="22">
        <f t="shared" si="28"/>
        <v>18.099547511312217</v>
      </c>
      <c r="E106" s="22">
        <f t="shared" si="28"/>
        <v>18.099547511312217</v>
      </c>
      <c r="F106" s="22">
        <f t="shared" si="28"/>
        <v>18.099547511312217</v>
      </c>
      <c r="G106" s="22">
        <f t="shared" si="28"/>
        <v>18.099547511312217</v>
      </c>
      <c r="H106" s="22">
        <f t="shared" si="29"/>
        <v>0</v>
      </c>
      <c r="I106" s="22">
        <f t="shared" si="30"/>
        <v>0</v>
      </c>
      <c r="J106" s="22">
        <f t="shared" si="30"/>
        <v>0</v>
      </c>
    </row>
    <row r="107" spans="1:10" outlineLevel="1" x14ac:dyDescent="0.25">
      <c r="A107" s="21" t="s">
        <v>92</v>
      </c>
      <c r="B107" s="22">
        <f t="shared" si="28"/>
        <v>35.294117647058826</v>
      </c>
      <c r="C107" s="22">
        <f t="shared" si="28"/>
        <v>35.294117647058826</v>
      </c>
      <c r="D107" s="22">
        <f t="shared" si="28"/>
        <v>35.294117647058826</v>
      </c>
      <c r="E107" s="22">
        <f t="shared" si="28"/>
        <v>35.294117647058826</v>
      </c>
      <c r="F107" s="22">
        <f t="shared" si="28"/>
        <v>35.294117647058826</v>
      </c>
      <c r="G107" s="22">
        <f t="shared" si="28"/>
        <v>35.294117647058826</v>
      </c>
      <c r="H107" s="22">
        <f t="shared" si="29"/>
        <v>0</v>
      </c>
      <c r="I107" s="22">
        <f t="shared" si="30"/>
        <v>0</v>
      </c>
      <c r="J107" s="22">
        <f t="shared" si="30"/>
        <v>0</v>
      </c>
    </row>
    <row r="108" spans="1:10" outlineLevel="1" x14ac:dyDescent="0.25">
      <c r="A108" s="31" t="s">
        <v>99</v>
      </c>
      <c r="B108" s="30">
        <f t="shared" si="28"/>
        <v>344.08423610996772</v>
      </c>
      <c r="C108" s="30">
        <f t="shared" si="28"/>
        <v>344.08423610996772</v>
      </c>
      <c r="D108" s="30">
        <f t="shared" si="28"/>
        <v>344.08423610996772</v>
      </c>
      <c r="E108" s="30">
        <f t="shared" si="28"/>
        <v>344.08423610996772</v>
      </c>
      <c r="F108" s="30">
        <f t="shared" si="28"/>
        <v>344.08423610996772</v>
      </c>
      <c r="G108" s="30">
        <f t="shared" si="28"/>
        <v>344.08423610996772</v>
      </c>
      <c r="H108" s="30">
        <f t="shared" si="29"/>
        <v>0</v>
      </c>
      <c r="I108" s="30">
        <f t="shared" si="30"/>
        <v>0</v>
      </c>
      <c r="J108" s="30">
        <f t="shared" si="30"/>
        <v>0</v>
      </c>
    </row>
    <row r="109" spans="1:10" outlineLevel="1" x14ac:dyDescent="0.25">
      <c r="A109" s="31" t="s">
        <v>112</v>
      </c>
      <c r="B109" s="30">
        <f t="shared" si="28"/>
        <v>12.503859215807349</v>
      </c>
      <c r="C109" s="30">
        <f t="shared" si="28"/>
        <v>5.9462633974453105</v>
      </c>
      <c r="D109" s="30">
        <f t="shared" si="28"/>
        <v>12.503859215807349</v>
      </c>
      <c r="E109" s="30">
        <f t="shared" si="28"/>
        <v>12.503859215807349</v>
      </c>
      <c r="F109" s="30">
        <f t="shared" si="28"/>
        <v>5.9462633974453105</v>
      </c>
      <c r="G109" s="30">
        <f t="shared" si="28"/>
        <v>12.503859215807349</v>
      </c>
      <c r="H109" s="30">
        <f t="shared" si="29"/>
        <v>0</v>
      </c>
      <c r="I109" s="30">
        <f t="shared" si="30"/>
        <v>0</v>
      </c>
      <c r="J109" s="30">
        <f t="shared" si="30"/>
        <v>0</v>
      </c>
    </row>
    <row r="110" spans="1:10" outlineLevel="1" x14ac:dyDescent="0.25">
      <c r="A110" s="31" t="s">
        <v>109</v>
      </c>
      <c r="B110" s="30">
        <f t="shared" ref="B110:G111" si="31">IFERROR(B90/B$69,0)</f>
        <v>128.1106554134706</v>
      </c>
      <c r="C110" s="30">
        <f t="shared" si="31"/>
        <v>91.860406664168906</v>
      </c>
      <c r="D110" s="30">
        <f t="shared" si="31"/>
        <v>110.52292288456159</v>
      </c>
      <c r="E110" s="30">
        <f t="shared" si="31"/>
        <v>128.1106554134706</v>
      </c>
      <c r="F110" s="30">
        <f t="shared" si="31"/>
        <v>91.860406664168906</v>
      </c>
      <c r="G110" s="30">
        <f t="shared" si="31"/>
        <v>110.52292288456159</v>
      </c>
      <c r="H110" s="30">
        <f t="shared" si="29"/>
        <v>0</v>
      </c>
      <c r="I110" s="30">
        <f t="shared" si="30"/>
        <v>0</v>
      </c>
      <c r="J110" s="30">
        <f t="shared" si="30"/>
        <v>0</v>
      </c>
    </row>
    <row r="111" spans="1:10" ht="15.75" outlineLevel="1" thickBot="1" x14ac:dyDescent="0.3">
      <c r="A111" s="32" t="s">
        <v>101</v>
      </c>
      <c r="B111" s="33">
        <f t="shared" si="31"/>
        <v>1421.721068763984</v>
      </c>
      <c r="C111" s="33">
        <f t="shared" si="31"/>
        <v>1016.4107367033031</v>
      </c>
      <c r="D111" s="33">
        <f t="shared" si="31"/>
        <v>1228.2560109459848</v>
      </c>
      <c r="E111" s="33">
        <f t="shared" si="31"/>
        <v>1421.721068763984</v>
      </c>
      <c r="F111" s="33">
        <f t="shared" si="31"/>
        <v>1016.4107367033031</v>
      </c>
      <c r="G111" s="33">
        <f t="shared" si="31"/>
        <v>1228.2560109459848</v>
      </c>
      <c r="H111" s="33">
        <f t="shared" si="29"/>
        <v>0</v>
      </c>
      <c r="I111" s="33">
        <f t="shared" si="30"/>
        <v>0</v>
      </c>
      <c r="J111" s="33">
        <f t="shared" si="30"/>
        <v>0</v>
      </c>
    </row>
    <row r="112" spans="1:10" ht="15.75" x14ac:dyDescent="0.25">
      <c r="A112" s="35"/>
      <c r="B112" s="22"/>
      <c r="C112" s="22"/>
      <c r="D112" s="22"/>
      <c r="E112" s="22"/>
      <c r="F112" s="22"/>
      <c r="G112" s="22"/>
      <c r="H112" s="22"/>
      <c r="I112" s="22"/>
      <c r="J112" s="22"/>
    </row>
    <row r="113" spans="1:10" ht="19.5" thickBot="1" x14ac:dyDescent="0.35">
      <c r="A113" s="20" t="s">
        <v>102</v>
      </c>
      <c r="B113" s="27">
        <f t="shared" ref="B113:G113" si="32">B131</f>
        <v>56.851290638599302</v>
      </c>
      <c r="C113" s="27">
        <f t="shared" si="32"/>
        <v>85.466339847977721</v>
      </c>
      <c r="D113" s="27">
        <f t="shared" si="32"/>
        <v>49.115076783383266</v>
      </c>
      <c r="E113" s="27">
        <f t="shared" si="32"/>
        <v>56.851290638599302</v>
      </c>
      <c r="F113" s="27">
        <f t="shared" si="32"/>
        <v>85.466339847977721</v>
      </c>
      <c r="G113" s="27">
        <f t="shared" si="32"/>
        <v>49.115076783383266</v>
      </c>
      <c r="H113" s="27">
        <f>H131</f>
        <v>0</v>
      </c>
      <c r="I113" s="27">
        <f>I131</f>
        <v>0</v>
      </c>
      <c r="J113" s="27">
        <f>J131</f>
        <v>0</v>
      </c>
    </row>
    <row r="114" spans="1:10" ht="15.75" outlineLevel="1" thickTop="1" x14ac:dyDescent="0.25">
      <c r="A114" s="28" t="s">
        <v>77</v>
      </c>
      <c r="B114" s="22">
        <f t="shared" ref="B114:G129" si="33">IFERROR(B74/B$71,0)</f>
        <v>9.3183900340763071</v>
      </c>
      <c r="C114" s="22">
        <f t="shared" si="33"/>
        <v>14.553418803418801</v>
      </c>
      <c r="D114" s="22">
        <f t="shared" si="33"/>
        <v>7.4637590078766536</v>
      </c>
      <c r="E114" s="22">
        <f t="shared" si="33"/>
        <v>9.3183900340763071</v>
      </c>
      <c r="F114" s="22">
        <f t="shared" si="33"/>
        <v>14.553418803418801</v>
      </c>
      <c r="G114" s="22">
        <f t="shared" si="33"/>
        <v>7.4637590078766536</v>
      </c>
      <c r="H114" s="22">
        <f t="shared" ref="H114:H131" si="34">IFERROR(H74/H$71,0)</f>
        <v>0</v>
      </c>
      <c r="I114" s="22">
        <f t="shared" ref="I114:J131" si="35">IFERROR(I74/I$71,0)</f>
        <v>0</v>
      </c>
      <c r="J114" s="22">
        <f t="shared" si="35"/>
        <v>0</v>
      </c>
    </row>
    <row r="115" spans="1:10" ht="26.25" outlineLevel="1" x14ac:dyDescent="0.25">
      <c r="A115" s="28" t="s">
        <v>76</v>
      </c>
      <c r="B115" s="22">
        <f t="shared" si="33"/>
        <v>3.9082956259426842</v>
      </c>
      <c r="C115" s="22">
        <f t="shared" si="33"/>
        <v>6.0877045975085178</v>
      </c>
      <c r="D115" s="22">
        <f t="shared" si="33"/>
        <v>3.0397854868443099</v>
      </c>
      <c r="E115" s="22">
        <f t="shared" si="33"/>
        <v>3.9082956259426842</v>
      </c>
      <c r="F115" s="22">
        <f t="shared" si="33"/>
        <v>6.0877045975085178</v>
      </c>
      <c r="G115" s="22">
        <f t="shared" si="33"/>
        <v>3.0397854868443099</v>
      </c>
      <c r="H115" s="22">
        <f t="shared" si="34"/>
        <v>0</v>
      </c>
      <c r="I115" s="22">
        <f t="shared" si="35"/>
        <v>0</v>
      </c>
      <c r="J115" s="22">
        <f t="shared" si="35"/>
        <v>0</v>
      </c>
    </row>
    <row r="116" spans="1:10" outlineLevel="1" x14ac:dyDescent="0.25">
      <c r="A116" s="21" t="s">
        <v>96</v>
      </c>
      <c r="B116" s="22">
        <f t="shared" si="33"/>
        <v>1.3118121892631693</v>
      </c>
      <c r="C116" s="22">
        <f t="shared" si="33"/>
        <v>2.0926484553935532</v>
      </c>
      <c r="D116" s="22">
        <f t="shared" si="33"/>
        <v>1.0404027707949275</v>
      </c>
      <c r="E116" s="22">
        <f t="shared" si="33"/>
        <v>1.3118121892631693</v>
      </c>
      <c r="F116" s="22">
        <f t="shared" si="33"/>
        <v>2.0926484553935532</v>
      </c>
      <c r="G116" s="22">
        <f t="shared" si="33"/>
        <v>1.0404027707949275</v>
      </c>
      <c r="H116" s="22">
        <f t="shared" si="34"/>
        <v>0</v>
      </c>
      <c r="I116" s="22">
        <f t="shared" si="35"/>
        <v>0</v>
      </c>
      <c r="J116" s="22">
        <f t="shared" si="35"/>
        <v>0</v>
      </c>
    </row>
    <row r="117" spans="1:10" outlineLevel="1" x14ac:dyDescent="0.25">
      <c r="A117" s="29" t="s">
        <v>98</v>
      </c>
      <c r="B117" s="30">
        <f t="shared" si="33"/>
        <v>14.538497849282161</v>
      </c>
      <c r="C117" s="30">
        <f t="shared" si="33"/>
        <v>22.733771856320871</v>
      </c>
      <c r="D117" s="30">
        <f t="shared" si="33"/>
        <v>11.543947265515891</v>
      </c>
      <c r="E117" s="30">
        <f t="shared" si="33"/>
        <v>14.538497849282161</v>
      </c>
      <c r="F117" s="30">
        <f t="shared" si="33"/>
        <v>22.733771856320871</v>
      </c>
      <c r="G117" s="30">
        <f t="shared" si="33"/>
        <v>11.543947265515891</v>
      </c>
      <c r="H117" s="30">
        <f t="shared" si="34"/>
        <v>0</v>
      </c>
      <c r="I117" s="30">
        <f t="shared" si="35"/>
        <v>0</v>
      </c>
      <c r="J117" s="30">
        <f t="shared" si="35"/>
        <v>0</v>
      </c>
    </row>
    <row r="118" spans="1:10" outlineLevel="1" x14ac:dyDescent="0.25">
      <c r="A118" s="21" t="s">
        <v>87</v>
      </c>
      <c r="B118" s="22">
        <f t="shared" si="33"/>
        <v>15.1342275</v>
      </c>
      <c r="C118" s="22">
        <f t="shared" si="33"/>
        <v>14.548295999999997</v>
      </c>
      <c r="D118" s="22">
        <f t="shared" si="33"/>
        <v>15.1342275</v>
      </c>
      <c r="E118" s="22">
        <f t="shared" si="33"/>
        <v>15.1342275</v>
      </c>
      <c r="F118" s="22">
        <f t="shared" si="33"/>
        <v>14.548295999999997</v>
      </c>
      <c r="G118" s="22">
        <f t="shared" si="33"/>
        <v>15.1342275</v>
      </c>
      <c r="H118" s="22">
        <f t="shared" si="34"/>
        <v>0</v>
      </c>
      <c r="I118" s="22">
        <f t="shared" si="35"/>
        <v>0</v>
      </c>
      <c r="J118" s="22">
        <f t="shared" si="35"/>
        <v>0</v>
      </c>
    </row>
    <row r="119" spans="1:10" outlineLevel="1" x14ac:dyDescent="0.25">
      <c r="A119" s="28" t="s">
        <v>88</v>
      </c>
      <c r="B119" s="22">
        <f t="shared" si="33"/>
        <v>0.90805364999999993</v>
      </c>
      <c r="C119" s="22">
        <f t="shared" si="33"/>
        <v>0.87289775999999986</v>
      </c>
      <c r="D119" s="22">
        <f t="shared" si="33"/>
        <v>0.90805364999999993</v>
      </c>
      <c r="E119" s="22">
        <f t="shared" si="33"/>
        <v>0.90805364999999993</v>
      </c>
      <c r="F119" s="22">
        <f t="shared" si="33"/>
        <v>0.87289775999999986</v>
      </c>
      <c r="G119" s="22">
        <f t="shared" si="33"/>
        <v>0.90805364999999993</v>
      </c>
      <c r="H119" s="22">
        <f t="shared" si="34"/>
        <v>0</v>
      </c>
      <c r="I119" s="22">
        <f t="shared" si="35"/>
        <v>0</v>
      </c>
      <c r="J119" s="22">
        <f t="shared" si="35"/>
        <v>0</v>
      </c>
    </row>
    <row r="120" spans="1:10" outlineLevel="1" x14ac:dyDescent="0.25">
      <c r="A120" s="28" t="s">
        <v>89</v>
      </c>
      <c r="B120" s="22">
        <f t="shared" si="33"/>
        <v>3.9806714708675486</v>
      </c>
      <c r="C120" s="22">
        <f t="shared" si="33"/>
        <v>7.0769565946036517</v>
      </c>
      <c r="D120" s="22">
        <f t="shared" si="33"/>
        <v>0.25331545723702581</v>
      </c>
      <c r="E120" s="22">
        <f t="shared" si="33"/>
        <v>3.9806714708675486</v>
      </c>
      <c r="F120" s="22">
        <f t="shared" si="33"/>
        <v>7.0769565946036517</v>
      </c>
      <c r="G120" s="22">
        <f t="shared" si="33"/>
        <v>0.25331545723702581</v>
      </c>
      <c r="H120" s="22">
        <f t="shared" si="34"/>
        <v>0</v>
      </c>
      <c r="I120" s="22">
        <f t="shared" si="35"/>
        <v>0</v>
      </c>
      <c r="J120" s="22">
        <f t="shared" si="35"/>
        <v>0</v>
      </c>
    </row>
    <row r="121" spans="1:10" outlineLevel="1" x14ac:dyDescent="0.25">
      <c r="A121" s="21" t="s">
        <v>90</v>
      </c>
      <c r="B121" s="22">
        <f t="shared" si="33"/>
        <v>0.407874074074074</v>
      </c>
      <c r="C121" s="22">
        <f t="shared" si="33"/>
        <v>0.57739341563786006</v>
      </c>
      <c r="D121" s="22">
        <f t="shared" si="33"/>
        <v>9.6858984910836748E-2</v>
      </c>
      <c r="E121" s="22">
        <f t="shared" si="33"/>
        <v>0.407874074074074</v>
      </c>
      <c r="F121" s="22">
        <f t="shared" si="33"/>
        <v>0.57739341563786006</v>
      </c>
      <c r="G121" s="22">
        <f t="shared" si="33"/>
        <v>9.6858984910836748E-2</v>
      </c>
      <c r="H121" s="22">
        <f t="shared" si="34"/>
        <v>0</v>
      </c>
      <c r="I121" s="22">
        <f t="shared" si="35"/>
        <v>0</v>
      </c>
      <c r="J121" s="22">
        <f t="shared" si="35"/>
        <v>0</v>
      </c>
    </row>
    <row r="122" spans="1:10" outlineLevel="1" x14ac:dyDescent="0.25">
      <c r="A122" s="21" t="s">
        <v>168</v>
      </c>
      <c r="B122" s="22">
        <f t="shared" si="33"/>
        <v>2.5</v>
      </c>
      <c r="C122" s="22">
        <f t="shared" si="33"/>
        <v>2.5</v>
      </c>
      <c r="D122" s="22">
        <f t="shared" si="33"/>
        <v>2.5</v>
      </c>
      <c r="E122" s="22">
        <f t="shared" si="33"/>
        <v>2.5</v>
      </c>
      <c r="F122" s="22">
        <f t="shared" si="33"/>
        <v>2.5</v>
      </c>
      <c r="G122" s="22">
        <f t="shared" si="33"/>
        <v>2.5</v>
      </c>
      <c r="H122" s="22">
        <f t="shared" si="34"/>
        <v>0</v>
      </c>
      <c r="I122" s="22">
        <f t="shared" si="35"/>
        <v>0</v>
      </c>
      <c r="J122" s="22">
        <f t="shared" si="35"/>
        <v>0</v>
      </c>
    </row>
    <row r="123" spans="1:10" outlineLevel="1" x14ac:dyDescent="0.25">
      <c r="A123" s="31" t="s">
        <v>97</v>
      </c>
      <c r="B123" s="30">
        <f t="shared" si="33"/>
        <v>22.930826694941622</v>
      </c>
      <c r="C123" s="30">
        <f t="shared" si="33"/>
        <v>25.575543770241506</v>
      </c>
      <c r="D123" s="30">
        <f t="shared" si="33"/>
        <v>18.892455592147861</v>
      </c>
      <c r="E123" s="30">
        <f t="shared" si="33"/>
        <v>22.930826694941622</v>
      </c>
      <c r="F123" s="30">
        <f t="shared" si="33"/>
        <v>25.575543770241506</v>
      </c>
      <c r="G123" s="30">
        <f t="shared" si="33"/>
        <v>18.892455592147861</v>
      </c>
      <c r="H123" s="30">
        <f t="shared" si="34"/>
        <v>0</v>
      </c>
      <c r="I123" s="30">
        <f t="shared" si="35"/>
        <v>0</v>
      </c>
      <c r="J123" s="30">
        <f t="shared" si="35"/>
        <v>0</v>
      </c>
    </row>
    <row r="124" spans="1:10" outlineLevel="1" x14ac:dyDescent="0.25">
      <c r="A124" s="21" t="s">
        <v>337</v>
      </c>
      <c r="B124" s="22">
        <f t="shared" si="33"/>
        <v>11.624034065582983</v>
      </c>
      <c r="C124" s="22">
        <f t="shared" si="33"/>
        <v>24.443129367300305</v>
      </c>
      <c r="D124" s="22">
        <f t="shared" si="33"/>
        <v>11.624034065582983</v>
      </c>
      <c r="E124" s="22">
        <f t="shared" si="33"/>
        <v>11.624034065582983</v>
      </c>
      <c r="F124" s="22">
        <f t="shared" si="33"/>
        <v>24.443129367300305</v>
      </c>
      <c r="G124" s="22">
        <f t="shared" si="33"/>
        <v>11.624034065582983</v>
      </c>
      <c r="H124" s="22">
        <f t="shared" si="34"/>
        <v>0</v>
      </c>
      <c r="I124" s="22">
        <f t="shared" si="35"/>
        <v>0</v>
      </c>
      <c r="J124" s="22">
        <f t="shared" si="35"/>
        <v>0</v>
      </c>
    </row>
    <row r="125" spans="1:10" outlineLevel="1" x14ac:dyDescent="0.25">
      <c r="A125" s="21" t="s">
        <v>94</v>
      </c>
      <c r="B125" s="22">
        <f t="shared" si="33"/>
        <v>0</v>
      </c>
      <c r="C125" s="22">
        <f t="shared" si="33"/>
        <v>0</v>
      </c>
      <c r="D125" s="22">
        <f t="shared" si="33"/>
        <v>0</v>
      </c>
      <c r="E125" s="22">
        <f t="shared" si="33"/>
        <v>0</v>
      </c>
      <c r="F125" s="22">
        <f t="shared" si="33"/>
        <v>0</v>
      </c>
      <c r="G125" s="22">
        <f t="shared" si="33"/>
        <v>0</v>
      </c>
      <c r="H125" s="22">
        <f t="shared" si="34"/>
        <v>0</v>
      </c>
      <c r="I125" s="22">
        <f t="shared" si="35"/>
        <v>0</v>
      </c>
      <c r="J125" s="22">
        <f t="shared" si="35"/>
        <v>0</v>
      </c>
    </row>
    <row r="126" spans="1:10" outlineLevel="1" x14ac:dyDescent="0.25">
      <c r="A126" s="21" t="s">
        <v>38</v>
      </c>
      <c r="B126" s="22">
        <f t="shared" si="33"/>
        <v>0.72375844924864519</v>
      </c>
      <c r="C126" s="22">
        <f t="shared" si="33"/>
        <v>1.5219261493771294</v>
      </c>
      <c r="D126" s="22">
        <f t="shared" si="33"/>
        <v>0.72375844924864519</v>
      </c>
      <c r="E126" s="22">
        <f t="shared" si="33"/>
        <v>0.72375844924864519</v>
      </c>
      <c r="F126" s="22">
        <f t="shared" si="33"/>
        <v>1.5219261493771294</v>
      </c>
      <c r="G126" s="22">
        <f t="shared" si="33"/>
        <v>0.72375844924864519</v>
      </c>
      <c r="H126" s="22">
        <f t="shared" si="34"/>
        <v>0</v>
      </c>
      <c r="I126" s="22">
        <f t="shared" si="35"/>
        <v>0</v>
      </c>
      <c r="J126" s="22">
        <f t="shared" si="35"/>
        <v>0</v>
      </c>
    </row>
    <row r="127" spans="1:10" outlineLevel="1" x14ac:dyDescent="0.25">
      <c r="A127" s="21" t="s">
        <v>92</v>
      </c>
      <c r="B127" s="22">
        <f t="shared" si="33"/>
        <v>1.4113289760348582</v>
      </c>
      <c r="C127" s="22">
        <f t="shared" si="33"/>
        <v>2.9677559912854026</v>
      </c>
      <c r="D127" s="22">
        <f t="shared" si="33"/>
        <v>1.4113289760348582</v>
      </c>
      <c r="E127" s="22">
        <f t="shared" si="33"/>
        <v>1.4113289760348582</v>
      </c>
      <c r="F127" s="22">
        <f t="shared" si="33"/>
        <v>2.9677559912854026</v>
      </c>
      <c r="G127" s="22">
        <f t="shared" si="33"/>
        <v>1.4113289760348582</v>
      </c>
      <c r="H127" s="22">
        <f t="shared" si="34"/>
        <v>0</v>
      </c>
      <c r="I127" s="22">
        <f t="shared" si="35"/>
        <v>0</v>
      </c>
      <c r="J127" s="22">
        <f t="shared" si="35"/>
        <v>0</v>
      </c>
    </row>
    <row r="128" spans="1:10" outlineLevel="1" x14ac:dyDescent="0.25">
      <c r="A128" s="31" t="s">
        <v>99</v>
      </c>
      <c r="B128" s="30">
        <f t="shared" si="33"/>
        <v>13.759121490866486</v>
      </c>
      <c r="C128" s="30">
        <f t="shared" si="33"/>
        <v>28.932811507962835</v>
      </c>
      <c r="D128" s="30">
        <f t="shared" si="33"/>
        <v>13.759121490866486</v>
      </c>
      <c r="E128" s="30">
        <f t="shared" si="33"/>
        <v>13.759121490866486</v>
      </c>
      <c r="F128" s="30">
        <f t="shared" si="33"/>
        <v>28.932811507962835</v>
      </c>
      <c r="G128" s="30">
        <f t="shared" si="33"/>
        <v>13.759121490866486</v>
      </c>
      <c r="H128" s="30">
        <f t="shared" si="34"/>
        <v>0</v>
      </c>
      <c r="I128" s="30">
        <f t="shared" si="35"/>
        <v>0</v>
      </c>
      <c r="J128" s="30">
        <f t="shared" si="35"/>
        <v>0</v>
      </c>
    </row>
    <row r="129" spans="1:11" outlineLevel="1" x14ac:dyDescent="0.25">
      <c r="A129" s="31" t="s">
        <v>112</v>
      </c>
      <c r="B129" s="30">
        <f t="shared" si="33"/>
        <v>0.5</v>
      </c>
      <c r="C129" s="30">
        <f t="shared" si="33"/>
        <v>0.5</v>
      </c>
      <c r="D129" s="30">
        <f t="shared" si="33"/>
        <v>0.5</v>
      </c>
      <c r="E129" s="30">
        <f t="shared" si="33"/>
        <v>0.5</v>
      </c>
      <c r="F129" s="30">
        <f t="shared" si="33"/>
        <v>0.5</v>
      </c>
      <c r="G129" s="30">
        <f t="shared" si="33"/>
        <v>0.5</v>
      </c>
      <c r="H129" s="30">
        <f t="shared" si="34"/>
        <v>0</v>
      </c>
      <c r="I129" s="30">
        <f t="shared" si="35"/>
        <v>0</v>
      </c>
      <c r="J129" s="30">
        <f t="shared" si="35"/>
        <v>0</v>
      </c>
    </row>
    <row r="130" spans="1:11" outlineLevel="1" x14ac:dyDescent="0.25">
      <c r="A130" s="31" t="s">
        <v>109</v>
      </c>
      <c r="B130" s="30">
        <f t="shared" ref="B130:G131" si="36">IFERROR(B90/B$71,0)</f>
        <v>5.1228446035090274</v>
      </c>
      <c r="C130" s="30">
        <f t="shared" si="36"/>
        <v>7.7242127134525216</v>
      </c>
      <c r="D130" s="30">
        <f t="shared" si="36"/>
        <v>4.4195524348530242</v>
      </c>
      <c r="E130" s="30">
        <f t="shared" si="36"/>
        <v>5.1228446035090274</v>
      </c>
      <c r="F130" s="30">
        <f t="shared" si="36"/>
        <v>7.7242127134525216</v>
      </c>
      <c r="G130" s="30">
        <f t="shared" si="36"/>
        <v>4.4195524348530242</v>
      </c>
      <c r="H130" s="30">
        <f t="shared" si="34"/>
        <v>0</v>
      </c>
      <c r="I130" s="30">
        <f t="shared" si="35"/>
        <v>0</v>
      </c>
      <c r="J130" s="30">
        <f t="shared" si="35"/>
        <v>0</v>
      </c>
    </row>
    <row r="131" spans="1:11" ht="15.75" outlineLevel="1" thickBot="1" x14ac:dyDescent="0.3">
      <c r="A131" s="32" t="s">
        <v>103</v>
      </c>
      <c r="B131" s="33">
        <f t="shared" si="36"/>
        <v>56.851290638599302</v>
      </c>
      <c r="C131" s="33">
        <f t="shared" si="36"/>
        <v>85.466339847977721</v>
      </c>
      <c r="D131" s="33">
        <f t="shared" si="36"/>
        <v>49.115076783383266</v>
      </c>
      <c r="E131" s="33">
        <f t="shared" si="36"/>
        <v>56.851290638599302</v>
      </c>
      <c r="F131" s="33">
        <f t="shared" si="36"/>
        <v>85.466339847977721</v>
      </c>
      <c r="G131" s="33">
        <f t="shared" si="36"/>
        <v>49.115076783383266</v>
      </c>
      <c r="H131" s="33">
        <f t="shared" si="34"/>
        <v>0</v>
      </c>
      <c r="I131" s="33">
        <f t="shared" si="35"/>
        <v>0</v>
      </c>
      <c r="J131" s="33">
        <f t="shared" si="35"/>
        <v>0</v>
      </c>
      <c r="K131">
        <v>0</v>
      </c>
    </row>
    <row r="133" spans="1:11" ht="18" thickBot="1" x14ac:dyDescent="0.35">
      <c r="A133" s="2" t="s">
        <v>110</v>
      </c>
      <c r="B133" s="20"/>
      <c r="C133" s="2"/>
      <c r="D133" s="2"/>
      <c r="E133" s="2"/>
      <c r="F133" s="2"/>
      <c r="G133" s="2"/>
      <c r="H133" s="2"/>
      <c r="I133" s="2"/>
      <c r="J133" s="2"/>
    </row>
    <row r="134" spans="1:11" ht="15.75" thickTop="1" x14ac:dyDescent="0.25">
      <c r="A134" t="s">
        <v>111</v>
      </c>
      <c r="B134" s="25">
        <f t="shared" ref="B134:G134" si="37">IFERROR(B26/B66,0)</f>
        <v>1.6815808333333333</v>
      </c>
      <c r="C134" s="17">
        <f t="shared" si="37"/>
        <v>1.6164773333333329</v>
      </c>
      <c r="D134" s="17">
        <f t="shared" si="37"/>
        <v>1.6815808333333333</v>
      </c>
      <c r="E134" s="17">
        <f t="shared" si="37"/>
        <v>1.6815808333333333</v>
      </c>
      <c r="F134" s="17">
        <f t="shared" si="37"/>
        <v>1.6164773333333329</v>
      </c>
      <c r="G134" s="17">
        <f t="shared" si="37"/>
        <v>1.6815808333333333</v>
      </c>
      <c r="H134" s="17">
        <f>IFERROR(H26/H66,0)</f>
        <v>0</v>
      </c>
      <c r="I134" s="17">
        <f>IFERROR(I26/I66,0)</f>
        <v>0</v>
      </c>
      <c r="J134" s="17">
        <f>IFERROR(J26/J66,0)</f>
        <v>0</v>
      </c>
    </row>
    <row r="135" spans="1:11" x14ac:dyDescent="0.25">
      <c r="A135" t="s">
        <v>294</v>
      </c>
      <c r="B135" s="25">
        <f t="shared" ref="B135:G135" si="38">IFERROR(B134/0.4,0)</f>
        <v>4.2039520833333333</v>
      </c>
      <c r="C135" s="17">
        <f t="shared" si="38"/>
        <v>4.0411933333333323</v>
      </c>
      <c r="D135" s="17">
        <f t="shared" si="38"/>
        <v>4.2039520833333333</v>
      </c>
      <c r="E135" s="17">
        <f t="shared" si="38"/>
        <v>4.2039520833333333</v>
      </c>
      <c r="F135" s="17">
        <f t="shared" si="38"/>
        <v>4.0411933333333323</v>
      </c>
      <c r="G135" s="17">
        <f t="shared" si="38"/>
        <v>4.2039520833333333</v>
      </c>
      <c r="H135" s="17">
        <f>IFERROR(H134/0.4,0)</f>
        <v>0</v>
      </c>
      <c r="I135" s="17">
        <f>IFERROR(I134/0.4,0)</f>
        <v>0</v>
      </c>
      <c r="J135" s="17">
        <f>IFERROR(J134/0.4,0)</f>
        <v>0</v>
      </c>
    </row>
  </sheetData>
  <conditionalFormatting sqref="H25:J135 B66:G66 B94:G135">
    <cfRule type="cellIs" dxfId="3" priority="1" operator="lessThan">
      <formula>0.1</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dimension ref="A1:V65"/>
  <sheetViews>
    <sheetView topLeftCell="A28" workbookViewId="0">
      <selection activeCell="D9" sqref="D9"/>
    </sheetView>
  </sheetViews>
  <sheetFormatPr baseColWidth="10" defaultRowHeight="15" outlineLevelRow="1" x14ac:dyDescent="0.25"/>
  <cols>
    <col min="1" max="1" width="51.5703125" customWidth="1"/>
    <col min="2" max="2" width="12.42578125" style="26" customWidth="1"/>
    <col min="3" max="3" width="13.85546875" customWidth="1"/>
    <col min="4" max="4" width="11.42578125" style="110"/>
    <col min="21" max="21" width="18" customWidth="1"/>
  </cols>
  <sheetData>
    <row r="1" spans="1:22" ht="80.25" customHeight="1" thickBot="1" x14ac:dyDescent="0.35">
      <c r="A1" s="52" t="s">
        <v>51</v>
      </c>
      <c r="B1" s="112" t="s">
        <v>202</v>
      </c>
      <c r="C1" s="162" t="s">
        <v>362</v>
      </c>
      <c r="D1" s="166" t="s">
        <v>196</v>
      </c>
      <c r="Q1" s="55"/>
      <c r="U1" t="s">
        <v>121</v>
      </c>
    </row>
    <row r="2" spans="1:22" ht="15.75" outlineLevel="1" thickTop="1" x14ac:dyDescent="0.25">
      <c r="A2" s="36" t="s">
        <v>205</v>
      </c>
      <c r="B2" s="29">
        <v>50</v>
      </c>
      <c r="C2" s="37"/>
      <c r="U2" t="str">
        <f>IF(ISBLANK(B1),"",B1)</f>
        <v>Flisbil til varmeverk</v>
      </c>
      <c r="V2" t="str">
        <f>IFERROR(INDEX(U$2:U$11, MATCH(0,INDEX(COUNTIF(V$1:V1, U$2:U$11), 0,0),0)),"")</f>
        <v>Flisbil til varmeverk</v>
      </c>
    </row>
    <row r="3" spans="1:22" outlineLevel="1" x14ac:dyDescent="0.25">
      <c r="A3" s="36" t="s">
        <v>204</v>
      </c>
      <c r="B3" s="29">
        <v>15</v>
      </c>
      <c r="C3" s="37"/>
      <c r="U3" t="str">
        <f>IF(ISBLANK(C1),"",C1)</f>
        <v/>
      </c>
      <c r="V3" t="str">
        <f>IFERROR(INDEX(U$2:U$11, MATCH(0,INDEX(COUNTIF(V$1:V2, U$2:U$11), 0,0),0)),"")</f>
        <v>Ingen</v>
      </c>
    </row>
    <row r="4" spans="1:22" outlineLevel="1" x14ac:dyDescent="0.25">
      <c r="A4" s="36" t="s">
        <v>203</v>
      </c>
      <c r="B4" s="29">
        <f>B2-B3</f>
        <v>35</v>
      </c>
      <c r="C4" s="4">
        <f>C2-C3</f>
        <v>0</v>
      </c>
      <c r="U4" t="str">
        <f>IF(ISBLANK(D1),"",D1)</f>
        <v>Ingen</v>
      </c>
      <c r="V4">
        <f>IFERROR(INDEX(U$2:U$11, MATCH(0,INDEX(COUNTIF(V$1:V3, U$2:U$11), 0,0),0)),"")</f>
        <v>0</v>
      </c>
    </row>
    <row r="5" spans="1:22" ht="17.25" outlineLevel="1" x14ac:dyDescent="0.25">
      <c r="A5" s="36" t="s">
        <v>127</v>
      </c>
      <c r="B5" s="29">
        <v>85</v>
      </c>
      <c r="C5" s="29"/>
      <c r="U5" t="str">
        <f>IF(ISBLANK(E1),"",E1)</f>
        <v/>
      </c>
      <c r="V5" t="str">
        <f>IFERROR(INDEX(U$2:U$11, MATCH(0,INDEX(COUNTIF(V$1:V4, U$2:U$11), 0,0),0)),"")</f>
        <v/>
      </c>
    </row>
    <row r="6" spans="1:22" outlineLevel="1" x14ac:dyDescent="0.25">
      <c r="A6" s="36" t="s">
        <v>137</v>
      </c>
      <c r="B6" s="113">
        <v>0.4</v>
      </c>
      <c r="C6" s="51"/>
    </row>
    <row r="7" spans="1:22" outlineLevel="1" x14ac:dyDescent="0.25">
      <c r="A7" s="36" t="s">
        <v>138</v>
      </c>
      <c r="B7" s="113">
        <f>Forutsetninger!$D$35</f>
        <v>0.35</v>
      </c>
      <c r="C7" s="51"/>
    </row>
    <row r="8" spans="1:22" outlineLevel="1" x14ac:dyDescent="0.25">
      <c r="A8" s="36" t="s">
        <v>343</v>
      </c>
      <c r="B8" s="115">
        <f>Forutsetninger!$D$31</f>
        <v>0.4</v>
      </c>
      <c r="C8" s="51"/>
    </row>
    <row r="9" spans="1:22" x14ac:dyDescent="0.25">
      <c r="A9" s="36"/>
      <c r="B9" s="24"/>
      <c r="C9" s="19"/>
    </row>
    <row r="10" spans="1:22" ht="18" thickBot="1" x14ac:dyDescent="0.35">
      <c r="A10" s="2" t="s">
        <v>143</v>
      </c>
      <c r="B10" s="20"/>
      <c r="C10" s="2"/>
    </row>
    <row r="11" spans="1:22" ht="15.75" outlineLevel="1" thickTop="1" x14ac:dyDescent="0.25">
      <c r="A11" s="1" t="s">
        <v>36</v>
      </c>
      <c r="B11" s="26">
        <v>230</v>
      </c>
      <c r="C11" s="36"/>
    </row>
    <row r="12" spans="1:22" outlineLevel="1" x14ac:dyDescent="0.25">
      <c r="A12" s="1" t="s">
        <v>68</v>
      </c>
      <c r="B12" s="26">
        <v>1</v>
      </c>
      <c r="C12" s="36"/>
    </row>
    <row r="13" spans="1:22" outlineLevel="1" x14ac:dyDescent="0.25">
      <c r="A13" s="1" t="s">
        <v>117</v>
      </c>
      <c r="B13" s="26">
        <v>7.5</v>
      </c>
      <c r="C13" s="36"/>
    </row>
    <row r="14" spans="1:22" x14ac:dyDescent="0.25">
      <c r="A14" s="36"/>
      <c r="C14" s="36"/>
    </row>
    <row r="15" spans="1:22" ht="18" thickBot="1" x14ac:dyDescent="0.35">
      <c r="A15" s="2" t="s">
        <v>209</v>
      </c>
      <c r="B15" s="20"/>
      <c r="C15" s="2"/>
    </row>
    <row r="16" spans="1:22" ht="15.75" outlineLevel="1" thickTop="1" x14ac:dyDescent="0.25">
      <c r="A16" s="1" t="s">
        <v>210</v>
      </c>
      <c r="B16" s="22">
        <v>520</v>
      </c>
      <c r="C16" s="38"/>
    </row>
    <row r="17" spans="1:3" outlineLevel="1" x14ac:dyDescent="0.25">
      <c r="A17" s="1" t="s">
        <v>211</v>
      </c>
      <c r="B17" s="22">
        <v>7</v>
      </c>
      <c r="C17" s="38"/>
    </row>
    <row r="18" spans="1:3" outlineLevel="1" x14ac:dyDescent="0.25">
      <c r="A18" s="1" t="s">
        <v>236</v>
      </c>
      <c r="B18" s="22">
        <v>5</v>
      </c>
      <c r="C18" s="38"/>
    </row>
    <row r="19" spans="1:3" x14ac:dyDescent="0.25">
      <c r="A19" s="1"/>
      <c r="B19" s="22"/>
      <c r="C19" s="38"/>
    </row>
    <row r="20" spans="1:3" ht="18" thickBot="1" x14ac:dyDescent="0.35">
      <c r="A20" s="2" t="s">
        <v>74</v>
      </c>
      <c r="B20" s="20"/>
      <c r="C20" s="2"/>
    </row>
    <row r="21" spans="1:3" ht="15.75" outlineLevel="1" thickTop="1" x14ac:dyDescent="0.25">
      <c r="A21" s="1" t="s">
        <v>218</v>
      </c>
      <c r="B21" s="111">
        <v>0.95</v>
      </c>
      <c r="C21" s="47"/>
    </row>
    <row r="22" spans="1:3" outlineLevel="1" x14ac:dyDescent="0.25">
      <c r="A22" s="1" t="s">
        <v>208</v>
      </c>
      <c r="B22" s="111">
        <v>20</v>
      </c>
      <c r="C22" s="47"/>
    </row>
    <row r="23" spans="1:3" outlineLevel="1" x14ac:dyDescent="0.25">
      <c r="A23" s="1" t="s">
        <v>344</v>
      </c>
      <c r="B23" s="111">
        <v>0.5</v>
      </c>
      <c r="C23" s="47"/>
    </row>
    <row r="24" spans="1:3" outlineLevel="1" x14ac:dyDescent="0.25">
      <c r="A24" s="1" t="s">
        <v>207</v>
      </c>
      <c r="B24" s="22">
        <f>12.7*LOG(Forutsetninger!$D$7)+9.3</f>
        <v>24.236358990007155</v>
      </c>
      <c r="C24" s="22">
        <f>IF(C17&gt;0,12.7*LOG(Forutsetninger!$D$7)+9.3,0)</f>
        <v>0</v>
      </c>
    </row>
    <row r="25" spans="1:3" outlineLevel="1" x14ac:dyDescent="0.25">
      <c r="A25" s="1" t="s">
        <v>346</v>
      </c>
      <c r="B25" s="24">
        <v>1</v>
      </c>
      <c r="C25" s="22"/>
    </row>
    <row r="26" spans="1:3" x14ac:dyDescent="0.25">
      <c r="A26" s="1" t="s">
        <v>345</v>
      </c>
      <c r="B26" s="24">
        <v>1</v>
      </c>
      <c r="C26" s="44"/>
    </row>
    <row r="27" spans="1:3" x14ac:dyDescent="0.25">
      <c r="A27" s="1"/>
      <c r="B27" s="24"/>
      <c r="C27" s="19"/>
    </row>
    <row r="28" spans="1:3" ht="18" thickBot="1" x14ac:dyDescent="0.35">
      <c r="A28" s="20" t="s">
        <v>79</v>
      </c>
      <c r="B28" s="20"/>
      <c r="C28" s="20"/>
    </row>
    <row r="29" spans="1:3" ht="15.75" outlineLevel="1" thickTop="1" x14ac:dyDescent="0.25">
      <c r="A29" s="21" t="s">
        <v>341</v>
      </c>
      <c r="B29" s="48">
        <f>MIN(B5*B6*B8, B4*(1-B7))</f>
        <v>13.600000000000001</v>
      </c>
      <c r="C29" s="48">
        <f>MIN(C5*C6, C4*(1-C7))</f>
        <v>0</v>
      </c>
    </row>
    <row r="30" spans="1:3" outlineLevel="1" x14ac:dyDescent="0.25">
      <c r="A30" s="21" t="s">
        <v>342</v>
      </c>
      <c r="B30" s="48">
        <f>B29/(1-B7)</f>
        <v>20.923076923076923</v>
      </c>
      <c r="C30" s="48"/>
    </row>
    <row r="31" spans="1:3" outlineLevel="1" x14ac:dyDescent="0.25">
      <c r="A31" s="21" t="s">
        <v>254</v>
      </c>
      <c r="B31" s="48">
        <f>B29/B8</f>
        <v>34</v>
      </c>
      <c r="C31" s="48"/>
    </row>
    <row r="32" spans="1:3" outlineLevel="1" x14ac:dyDescent="0.25">
      <c r="A32" s="1" t="s">
        <v>222</v>
      </c>
      <c r="B32" s="114">
        <f>B31*B21</f>
        <v>32.299999999999997</v>
      </c>
      <c r="C32" s="57">
        <f>C29*C21</f>
        <v>0</v>
      </c>
    </row>
    <row r="33" spans="1:4" outlineLevel="1" x14ac:dyDescent="0.25">
      <c r="A33" s="21" t="s">
        <v>217</v>
      </c>
      <c r="B33" s="22">
        <f>B11*B13*B12</f>
        <v>1725</v>
      </c>
      <c r="C33" s="22">
        <f>C11*C13*C12</f>
        <v>0</v>
      </c>
    </row>
    <row r="34" spans="1:4" outlineLevel="1" x14ac:dyDescent="0.25">
      <c r="A34" s="21" t="s">
        <v>216</v>
      </c>
      <c r="B34" s="22">
        <f>B33*B26</f>
        <v>1725</v>
      </c>
      <c r="C34" s="22">
        <f>C33*C26</f>
        <v>0</v>
      </c>
    </row>
    <row r="35" spans="1:4" ht="15.75" outlineLevel="1" x14ac:dyDescent="0.3">
      <c r="A35" s="1" t="s">
        <v>348</v>
      </c>
      <c r="B35" s="48">
        <f>(B23*B32+B22)/60</f>
        <v>0.60249999999999992</v>
      </c>
      <c r="C35" s="48">
        <f>(C23*C32+C22)/60</f>
        <v>0</v>
      </c>
    </row>
    <row r="36" spans="1:4" ht="15.75" outlineLevel="1" x14ac:dyDescent="0.3">
      <c r="A36" s="1" t="s">
        <v>349</v>
      </c>
      <c r="B36" s="49">
        <f>IFERROR(Forutsetninger!$D$7*2/B24,0)</f>
        <v>1.2378096896637503</v>
      </c>
      <c r="C36" s="49">
        <f>IFERROR(Forutsetninger!$D$7*2/C24,0)</f>
        <v>0</v>
      </c>
    </row>
    <row r="37" spans="1:4" ht="15.75" outlineLevel="1" x14ac:dyDescent="0.3">
      <c r="A37" s="1" t="s">
        <v>133</v>
      </c>
      <c r="B37" s="48">
        <f>B35+B36</f>
        <v>1.8403096896637501</v>
      </c>
      <c r="C37" s="48">
        <f>C35+C36</f>
        <v>0</v>
      </c>
    </row>
    <row r="38" spans="1:4" ht="15.75" outlineLevel="1" x14ac:dyDescent="0.3">
      <c r="A38" s="21" t="s">
        <v>116</v>
      </c>
      <c r="B38" s="25">
        <f>IFERROR(B32/B37,0)</f>
        <v>17.551393758026482</v>
      </c>
      <c r="C38" s="25">
        <f>IFERROR(C32/C37,0)</f>
        <v>0</v>
      </c>
    </row>
    <row r="39" spans="1:4" ht="15.75" outlineLevel="1" x14ac:dyDescent="0.3">
      <c r="A39" s="21" t="s">
        <v>212</v>
      </c>
      <c r="B39" s="22">
        <f>IFERROR(Forutsetninger!$D2/B38,0)</f>
        <v>11.395106437546442</v>
      </c>
      <c r="C39" s="22">
        <f>IFERROR(Forutsetninger!$D2/C38,0)</f>
        <v>0</v>
      </c>
    </row>
    <row r="40" spans="1:4" outlineLevel="1" x14ac:dyDescent="0.25">
      <c r="A40" s="21" t="s">
        <v>215</v>
      </c>
      <c r="B40" s="22">
        <f>IFERROR(B34/B37,0)</f>
        <v>937.34223630327199</v>
      </c>
      <c r="C40" s="22">
        <f>IFERROR(C34/C37,0)</f>
        <v>0</v>
      </c>
      <c r="D40" s="110">
        <v>0</v>
      </c>
    </row>
    <row r="41" spans="1:4" outlineLevel="1" x14ac:dyDescent="0.25">
      <c r="A41" s="21" t="s">
        <v>86</v>
      </c>
      <c r="B41" s="22">
        <f>IFERROR(B34/B39,0)</f>
        <v>151.38077116297839</v>
      </c>
      <c r="C41" s="22">
        <f>IFERROR(C34/C39,0)</f>
        <v>0</v>
      </c>
      <c r="D41" s="146">
        <v>0</v>
      </c>
    </row>
    <row r="42" spans="1:4" outlineLevel="1" x14ac:dyDescent="0.25">
      <c r="A42" s="21" t="s">
        <v>81</v>
      </c>
      <c r="B42" s="22">
        <f>IFERROR(B41*Forutsetninger!$D2,0)</f>
        <v>30276.15423259568</v>
      </c>
      <c r="C42" s="22">
        <f>IFERROR(C41*Forutsetninger!$D2,0)</f>
        <v>0</v>
      </c>
      <c r="D42" s="110">
        <v>0</v>
      </c>
    </row>
    <row r="43" spans="1:4" outlineLevel="1" x14ac:dyDescent="0.25">
      <c r="A43" s="21" t="s">
        <v>347</v>
      </c>
      <c r="B43" s="22">
        <f>B42*B8/(1-B7)</f>
        <v>18631.479527751188</v>
      </c>
      <c r="C43" s="22"/>
      <c r="D43" s="110">
        <v>0</v>
      </c>
    </row>
    <row r="45" spans="1:4" ht="18" thickBot="1" x14ac:dyDescent="0.35">
      <c r="A45" s="20" t="s">
        <v>75</v>
      </c>
      <c r="B45" s="27">
        <f>B48</f>
        <v>1093841.8696236871</v>
      </c>
      <c r="C45" s="27">
        <f>C48</f>
        <v>0</v>
      </c>
      <c r="D45" s="110">
        <v>0</v>
      </c>
    </row>
    <row r="46" spans="1:4" ht="15.75" outlineLevel="1" thickTop="1" x14ac:dyDescent="0.25">
      <c r="A46" s="28" t="s">
        <v>213</v>
      </c>
      <c r="B46" s="22">
        <f>B39*B41*B16</f>
        <v>896999.99999999988</v>
      </c>
      <c r="C46" s="22">
        <f>C39*C41*C16</f>
        <v>0</v>
      </c>
    </row>
    <row r="47" spans="1:4" outlineLevel="1" x14ac:dyDescent="0.25">
      <c r="A47" s="28" t="s">
        <v>214</v>
      </c>
      <c r="B47" s="22">
        <f>Forutsetninger!$D$7*2*B40*B17</f>
        <v>196841.86962368712</v>
      </c>
      <c r="C47" s="22">
        <f>Forutsetninger!$D$7*2*C40*C17</f>
        <v>0</v>
      </c>
    </row>
    <row r="48" spans="1:4" ht="15.75" outlineLevel="1" thickBot="1" x14ac:dyDescent="0.3">
      <c r="A48" s="32" t="s">
        <v>100</v>
      </c>
      <c r="B48" s="33">
        <f>B46+B47</f>
        <v>1093841.8696236871</v>
      </c>
      <c r="C48" s="33">
        <f>C46+C47</f>
        <v>0</v>
      </c>
    </row>
    <row r="49" spans="1:4" x14ac:dyDescent="0.25">
      <c r="A49" s="26"/>
      <c r="B49" s="22"/>
      <c r="C49" s="22"/>
    </row>
    <row r="50" spans="1:4" ht="19.5" thickBot="1" x14ac:dyDescent="0.4">
      <c r="A50" s="20" t="s">
        <v>95</v>
      </c>
      <c r="B50" s="27">
        <f>B53</f>
        <v>634.11122876735487</v>
      </c>
      <c r="C50" s="27">
        <f>C53</f>
        <v>0</v>
      </c>
      <c r="D50" s="110">
        <v>0</v>
      </c>
    </row>
    <row r="51" spans="1:4" ht="15.75" outlineLevel="1" thickTop="1" x14ac:dyDescent="0.25">
      <c r="A51" s="28" t="s">
        <v>213</v>
      </c>
      <c r="B51" s="22">
        <f>IFERROR(B46/B34,0)</f>
        <v>519.99999999999989</v>
      </c>
      <c r="C51" s="22">
        <f>IFERROR(C46/C34,0)</f>
        <v>0</v>
      </c>
    </row>
    <row r="52" spans="1:4" outlineLevel="1" x14ac:dyDescent="0.25">
      <c r="A52" s="28" t="s">
        <v>214</v>
      </c>
      <c r="B52" s="22">
        <f>IFERROR(B47/B34,0)</f>
        <v>114.11122876735485</v>
      </c>
      <c r="C52" s="22">
        <f>IFERROR(C47/C34,0)</f>
        <v>0</v>
      </c>
    </row>
    <row r="53" spans="1:4" ht="15.75" outlineLevel="1" thickBot="1" x14ac:dyDescent="0.3">
      <c r="A53" s="32" t="s">
        <v>101</v>
      </c>
      <c r="B53" s="33">
        <f>IFERROR(B48/B34,0)</f>
        <v>634.11122876735487</v>
      </c>
      <c r="C53" s="33">
        <f>IFERROR(C48/C34,0)</f>
        <v>0</v>
      </c>
    </row>
    <row r="54" spans="1:4" ht="15.75" x14ac:dyDescent="0.25">
      <c r="A54" s="35"/>
      <c r="B54" s="22"/>
      <c r="C54" s="22"/>
    </row>
    <row r="55" spans="1:4" ht="19.5" thickBot="1" x14ac:dyDescent="0.35">
      <c r="A55" s="20" t="s">
        <v>102</v>
      </c>
      <c r="B55" s="27">
        <f>B58</f>
        <v>36.128824725236854</v>
      </c>
      <c r="C55" s="27">
        <f>C58</f>
        <v>0</v>
      </c>
      <c r="D55" s="110">
        <v>0</v>
      </c>
    </row>
    <row r="56" spans="1:4" ht="15.75" outlineLevel="1" thickTop="1" x14ac:dyDescent="0.25">
      <c r="A56" s="28" t="s">
        <v>213</v>
      </c>
      <c r="B56" s="22">
        <f t="shared" ref="B56:C58" si="0">IFERROR(B46/B$42,0)</f>
        <v>29.627276737620747</v>
      </c>
      <c r="C56" s="22">
        <f t="shared" si="0"/>
        <v>0</v>
      </c>
    </row>
    <row r="57" spans="1:4" outlineLevel="1" x14ac:dyDescent="0.25">
      <c r="A57" s="28" t="s">
        <v>214</v>
      </c>
      <c r="B57" s="22">
        <f t="shared" si="0"/>
        <v>6.5015479876161004</v>
      </c>
      <c r="C57" s="22">
        <f t="shared" si="0"/>
        <v>0</v>
      </c>
    </row>
    <row r="58" spans="1:4" ht="15.75" outlineLevel="1" thickBot="1" x14ac:dyDescent="0.3">
      <c r="A58" s="32" t="s">
        <v>103</v>
      </c>
      <c r="B58" s="33">
        <f t="shared" si="0"/>
        <v>36.128824725236854</v>
      </c>
      <c r="C58" s="33">
        <f t="shared" si="0"/>
        <v>0</v>
      </c>
    </row>
    <row r="60" spans="1:4" ht="18" thickBot="1" x14ac:dyDescent="0.35">
      <c r="A60" s="2" t="s">
        <v>110</v>
      </c>
      <c r="B60" s="20"/>
      <c r="C60" s="2"/>
    </row>
    <row r="61" spans="1:4" ht="15.75" thickTop="1" x14ac:dyDescent="0.25"/>
    <row r="65" spans="1:2" x14ac:dyDescent="0.25">
      <c r="A65" s="1"/>
      <c r="B65" s="24"/>
    </row>
  </sheetData>
  <conditionalFormatting sqref="C61">
    <cfRule type="cellIs" dxfId="2" priority="3" operator="lessThan">
      <formula>0.1</formula>
    </cfRule>
  </conditionalFormatting>
  <conditionalFormatting sqref="B21:C61">
    <cfRule type="cellIs" dxfId="1" priority="2" operator="lessThan">
      <formula>0.01</formula>
    </cfRule>
  </conditionalFormatting>
  <conditionalFormatting sqref="C4">
    <cfRule type="cellIs" dxfId="0" priority="1" operator="lessThan">
      <formula>0.1</formula>
    </cfRule>
  </conditionalFormatting>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4"/>
  <dimension ref="A1:U27"/>
  <sheetViews>
    <sheetView workbookViewId="0">
      <pane ySplit="1" topLeftCell="A2" activePane="bottomLeft" state="frozen"/>
      <selection pane="bottomLeft" activeCell="U2" sqref="U2"/>
    </sheetView>
  </sheetViews>
  <sheetFormatPr baseColWidth="10" defaultRowHeight="15" outlineLevelRow="1" x14ac:dyDescent="0.25"/>
  <cols>
    <col min="1" max="1" width="51.140625" customWidth="1"/>
    <col min="2" max="3" width="18.42578125" customWidth="1"/>
    <col min="4" max="5" width="15.28515625" customWidth="1"/>
    <col min="6" max="6" width="19.140625" customWidth="1"/>
    <col min="7" max="7" width="19.42578125" customWidth="1"/>
  </cols>
  <sheetData>
    <row r="1" spans="1:21" ht="60" customHeight="1" thickBot="1" x14ac:dyDescent="0.35">
      <c r="A1" s="52" t="s">
        <v>224</v>
      </c>
      <c r="B1" s="52" t="s">
        <v>234</v>
      </c>
      <c r="C1" s="52" t="s">
        <v>245</v>
      </c>
      <c r="D1" s="52" t="s">
        <v>233</v>
      </c>
      <c r="E1" s="52" t="s">
        <v>244</v>
      </c>
      <c r="F1" s="52" t="s">
        <v>246</v>
      </c>
      <c r="G1" s="52" t="s">
        <v>247</v>
      </c>
      <c r="H1" s="145" t="s">
        <v>196</v>
      </c>
      <c r="U1" t="s">
        <v>121</v>
      </c>
    </row>
    <row r="2" spans="1:21" ht="31.5" customHeight="1" outlineLevel="1" thickTop="1" x14ac:dyDescent="0.25">
      <c r="A2" s="54" t="s">
        <v>287</v>
      </c>
      <c r="B2" s="54" t="s">
        <v>231</v>
      </c>
      <c r="C2" s="54" t="s">
        <v>231</v>
      </c>
      <c r="D2" s="54" t="s">
        <v>232</v>
      </c>
      <c r="E2" s="54" t="s">
        <v>232</v>
      </c>
      <c r="F2" s="54" t="s">
        <v>235</v>
      </c>
      <c r="G2" s="54" t="s">
        <v>235</v>
      </c>
      <c r="U2" t="e">
        <f>#REF!</f>
        <v>#REF!</v>
      </c>
    </row>
    <row r="3" spans="1:21" x14ac:dyDescent="0.25">
      <c r="A3" s="36"/>
      <c r="B3" s="36"/>
      <c r="C3" s="36"/>
      <c r="D3" s="36"/>
      <c r="E3" s="36"/>
      <c r="F3" s="36"/>
      <c r="G3" s="36"/>
      <c r="U3" t="e">
        <f>#REF!</f>
        <v>#REF!</v>
      </c>
    </row>
    <row r="4" spans="1:21" ht="18" thickBot="1" x14ac:dyDescent="0.35">
      <c r="A4" s="2" t="s">
        <v>225</v>
      </c>
      <c r="B4" s="2"/>
      <c r="C4" s="2"/>
      <c r="D4" s="2"/>
      <c r="E4" s="2"/>
      <c r="F4" s="2"/>
      <c r="G4" s="2"/>
      <c r="U4" t="s">
        <v>196</v>
      </c>
    </row>
    <row r="5" spans="1:21" ht="15.75" outlineLevel="1" thickTop="1" x14ac:dyDescent="0.25">
      <c r="A5" s="1" t="s">
        <v>226</v>
      </c>
      <c r="B5" s="36" t="s">
        <v>229</v>
      </c>
      <c r="C5" s="36" t="s">
        <v>229</v>
      </c>
      <c r="D5" s="36" t="s">
        <v>229</v>
      </c>
      <c r="E5" s="36" t="s">
        <v>229</v>
      </c>
      <c r="F5" s="36" t="s">
        <v>229</v>
      </c>
      <c r="G5" s="36" t="s">
        <v>229</v>
      </c>
    </row>
    <row r="6" spans="1:21" outlineLevel="1" x14ac:dyDescent="0.25">
      <c r="A6" s="1" t="s">
        <v>227</v>
      </c>
      <c r="B6" s="36">
        <v>3.5</v>
      </c>
      <c r="C6" s="36">
        <v>3.5</v>
      </c>
      <c r="D6" s="36">
        <v>4</v>
      </c>
      <c r="E6" s="36">
        <v>4</v>
      </c>
      <c r="F6" s="36">
        <v>5</v>
      </c>
      <c r="G6" s="36">
        <v>5</v>
      </c>
    </row>
    <row r="7" spans="1:21" outlineLevel="1" x14ac:dyDescent="0.25">
      <c r="A7" s="1" t="s">
        <v>228</v>
      </c>
      <c r="B7" s="40">
        <v>0.2</v>
      </c>
      <c r="C7" s="40">
        <v>0.3</v>
      </c>
      <c r="D7" s="40">
        <v>0.2</v>
      </c>
      <c r="E7" s="40">
        <v>0.3</v>
      </c>
      <c r="F7" s="40">
        <v>0.4</v>
      </c>
      <c r="G7" s="40">
        <v>0.4</v>
      </c>
    </row>
    <row r="8" spans="1:21" outlineLevel="1" x14ac:dyDescent="0.25">
      <c r="A8" s="1" t="s">
        <v>286</v>
      </c>
      <c r="B8" s="26">
        <f t="shared" ref="B8:G8" si="0">B6*B7*12</f>
        <v>8.4</v>
      </c>
      <c r="C8" s="26">
        <f t="shared" si="0"/>
        <v>12.600000000000001</v>
      </c>
      <c r="D8" s="26">
        <f t="shared" si="0"/>
        <v>9.6000000000000014</v>
      </c>
      <c r="E8" s="26">
        <f t="shared" si="0"/>
        <v>14.399999999999999</v>
      </c>
      <c r="F8" s="26">
        <f t="shared" si="0"/>
        <v>24</v>
      </c>
      <c r="G8" s="26">
        <f t="shared" si="0"/>
        <v>24</v>
      </c>
    </row>
    <row r="9" spans="1:21" outlineLevel="1" x14ac:dyDescent="0.25">
      <c r="A9" s="1" t="s">
        <v>243</v>
      </c>
      <c r="B9" s="44">
        <v>0.2</v>
      </c>
      <c r="C9" s="44">
        <v>0.2</v>
      </c>
      <c r="D9" s="44">
        <v>0.5</v>
      </c>
      <c r="E9" s="44">
        <v>0.5</v>
      </c>
      <c r="F9" s="44">
        <v>0.6</v>
      </c>
      <c r="G9" s="44">
        <v>0.6</v>
      </c>
    </row>
    <row r="10" spans="1:21" outlineLevel="1" x14ac:dyDescent="0.25"/>
    <row r="12" spans="1:21" ht="18" thickBot="1" x14ac:dyDescent="0.35">
      <c r="A12" s="2" t="s">
        <v>52</v>
      </c>
      <c r="B12" s="2"/>
      <c r="C12" s="2"/>
      <c r="D12" s="2"/>
      <c r="E12" s="2"/>
      <c r="F12" s="2"/>
      <c r="G12" s="2"/>
    </row>
    <row r="13" spans="1:21" ht="15.75" outlineLevel="1" thickTop="1" x14ac:dyDescent="0.25">
      <c r="A13" s="1" t="s">
        <v>284</v>
      </c>
      <c r="B13" s="38">
        <v>2</v>
      </c>
      <c r="C13" s="38">
        <v>2</v>
      </c>
      <c r="D13" s="38">
        <v>500</v>
      </c>
      <c r="E13" s="38">
        <v>500</v>
      </c>
      <c r="F13" s="38">
        <v>3000</v>
      </c>
      <c r="G13" s="38">
        <v>3000</v>
      </c>
    </row>
    <row r="14" spans="1:21" outlineLevel="1" x14ac:dyDescent="0.25">
      <c r="A14" s="1" t="s">
        <v>237</v>
      </c>
      <c r="B14" s="38">
        <v>20</v>
      </c>
      <c r="C14" s="38">
        <v>20</v>
      </c>
      <c r="D14" s="38">
        <v>25</v>
      </c>
      <c r="E14" s="38">
        <v>25</v>
      </c>
      <c r="F14" s="38">
        <v>25</v>
      </c>
      <c r="G14" s="38">
        <v>25</v>
      </c>
    </row>
    <row r="15" spans="1:21" x14ac:dyDescent="0.25">
      <c r="A15" s="1" t="s">
        <v>285</v>
      </c>
      <c r="B15" s="58">
        <v>0</v>
      </c>
      <c r="C15" s="58">
        <v>0</v>
      </c>
      <c r="D15" s="58">
        <v>20</v>
      </c>
      <c r="E15" s="58">
        <v>20</v>
      </c>
      <c r="F15" s="43">
        <v>30</v>
      </c>
      <c r="G15" s="43">
        <v>30</v>
      </c>
    </row>
    <row r="16" spans="1:21" ht="17.25" x14ac:dyDescent="0.25">
      <c r="A16" s="4" t="s">
        <v>305</v>
      </c>
      <c r="B16" s="64">
        <f>-PMT(Forutsetninger!$D22,B14,B13)+B15</f>
        <v>0.16048517438138266</v>
      </c>
      <c r="C16" s="64">
        <f>-PMT(Forutsetninger!$D22,C14,C13)+C15</f>
        <v>0.16048517438138266</v>
      </c>
      <c r="D16" s="64">
        <f>-PMT(Forutsetninger!$D22,D14,D13)+D15</f>
        <v>55.476228649614811</v>
      </c>
      <c r="E16" s="64">
        <f>-PMT(Forutsetninger!$D22,E14,E13)+E15</f>
        <v>55.476228649614811</v>
      </c>
      <c r="F16" s="64">
        <f>-PMT(Forutsetninger!$D22,F14,F13)+F15</f>
        <v>242.85737189768884</v>
      </c>
      <c r="G16" s="64">
        <f>-PMT(Forutsetninger!$D22,G14,G13)+G15</f>
        <v>242.85737189768884</v>
      </c>
    </row>
    <row r="18" spans="1:7" ht="18" thickBot="1" x14ac:dyDescent="0.35">
      <c r="A18" s="2" t="s">
        <v>53</v>
      </c>
      <c r="B18" s="2"/>
      <c r="C18" s="2"/>
      <c r="D18" s="2"/>
      <c r="E18" s="2"/>
      <c r="F18" s="2"/>
      <c r="G18" s="2"/>
    </row>
    <row r="19" spans="1:7" ht="15.75" thickTop="1" x14ac:dyDescent="0.25">
      <c r="A19" s="1" t="s">
        <v>230</v>
      </c>
      <c r="B19" s="41">
        <v>5</v>
      </c>
      <c r="C19" s="41">
        <v>5</v>
      </c>
      <c r="D19" s="41">
        <v>5</v>
      </c>
      <c r="E19" s="41">
        <v>6</v>
      </c>
      <c r="F19" s="62">
        <v>0</v>
      </c>
      <c r="G19" s="41">
        <v>0</v>
      </c>
    </row>
    <row r="20" spans="1:7" x14ac:dyDescent="0.25">
      <c r="A20" s="36" t="s">
        <v>240</v>
      </c>
      <c r="B20" s="62">
        <v>0</v>
      </c>
      <c r="C20" s="62">
        <v>0</v>
      </c>
      <c r="D20" s="62">
        <v>2</v>
      </c>
      <c r="E20" s="62">
        <v>2</v>
      </c>
      <c r="F20" s="62">
        <v>0</v>
      </c>
      <c r="G20" s="62">
        <v>2</v>
      </c>
    </row>
    <row r="21" spans="1:7" x14ac:dyDescent="0.25">
      <c r="A21" s="1" t="s">
        <v>241</v>
      </c>
      <c r="B21" s="62">
        <v>0</v>
      </c>
      <c r="C21" s="62">
        <v>0</v>
      </c>
      <c r="D21" s="62">
        <v>200</v>
      </c>
      <c r="E21" s="62">
        <v>200</v>
      </c>
      <c r="F21" s="62">
        <v>0</v>
      </c>
      <c r="G21" s="62">
        <v>200</v>
      </c>
    </row>
    <row r="22" spans="1:7" x14ac:dyDescent="0.25">
      <c r="A22" s="1" t="s">
        <v>242</v>
      </c>
      <c r="B22" s="62">
        <v>0</v>
      </c>
      <c r="C22" s="62">
        <v>0</v>
      </c>
      <c r="D22" s="62">
        <v>0</v>
      </c>
      <c r="E22" s="62">
        <v>0</v>
      </c>
      <c r="F22" s="62">
        <v>5</v>
      </c>
      <c r="G22" s="62">
        <v>5</v>
      </c>
    </row>
    <row r="24" spans="1:7" x14ac:dyDescent="0.25">
      <c r="A24" s="1"/>
      <c r="B24" s="43"/>
      <c r="C24" s="43"/>
      <c r="D24" s="43"/>
      <c r="E24" s="43"/>
      <c r="F24" s="43"/>
      <c r="G24" s="43"/>
    </row>
    <row r="25" spans="1:7" ht="18" thickBot="1" x14ac:dyDescent="0.35">
      <c r="A25" s="20" t="s">
        <v>239</v>
      </c>
      <c r="B25" s="27"/>
      <c r="C25" s="27"/>
      <c r="D25" s="27"/>
      <c r="E25" s="27"/>
      <c r="F25" s="27"/>
      <c r="G25" s="27"/>
    </row>
    <row r="26" spans="1:7" ht="18" thickTop="1" x14ac:dyDescent="0.25">
      <c r="A26" t="s">
        <v>288</v>
      </c>
      <c r="B26" s="18">
        <f t="shared" ref="B26:G26" si="1">B16/B8/B9/12</f>
        <v>7.9605741260606461E-3</v>
      </c>
      <c r="C26" s="18">
        <f t="shared" si="1"/>
        <v>5.3070494173737643E-3</v>
      </c>
      <c r="D26" s="18">
        <f t="shared" si="1"/>
        <v>0.96312896961136818</v>
      </c>
      <c r="E26" s="18">
        <f t="shared" si="1"/>
        <v>0.64208597974091219</v>
      </c>
      <c r="F26" s="18">
        <f t="shared" si="1"/>
        <v>1.4054246058894029</v>
      </c>
      <c r="G26" s="18">
        <f t="shared" si="1"/>
        <v>1.4054246058894029</v>
      </c>
    </row>
    <row r="27" spans="1:7" ht="17.25" x14ac:dyDescent="0.25">
      <c r="A27" t="s">
        <v>289</v>
      </c>
      <c r="B27" s="18">
        <f>B20+B22+(B21/Forutsetninger!$D2)+B19/(B6*B7)</f>
        <v>7.1428571428571423</v>
      </c>
      <c r="C27" s="18">
        <f>C20+C22+(C21/Forutsetninger!$D2)+C19/(C6*C7)</f>
        <v>4.7619047619047619</v>
      </c>
      <c r="D27" s="18">
        <f>D20+D22+(D21/Forutsetninger!$D2)+D19/(D6*D7)</f>
        <v>9.25</v>
      </c>
      <c r="E27" s="18">
        <f>E20+E22+(E21/Forutsetninger!$D2)+E19/(E6*E7)</f>
        <v>8</v>
      </c>
      <c r="F27" s="18">
        <f>F20+F22+(F21/Forutsetninger!$D2)+F19/(F6*F7)</f>
        <v>5</v>
      </c>
      <c r="G27" s="18">
        <f>G20+G22+(G21/Forutsetninger!$D2)+G19/(G6*G7)</f>
        <v>8</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9:D19"/>
  <sheetViews>
    <sheetView workbookViewId="0">
      <selection activeCell="C24" sqref="C24"/>
    </sheetView>
  </sheetViews>
  <sheetFormatPr baseColWidth="10" defaultRowHeight="15" x14ac:dyDescent="0.25"/>
  <cols>
    <col min="2" max="2" width="23" customWidth="1"/>
    <col min="3" max="3" width="25.140625" customWidth="1"/>
    <col min="4" max="4" width="22.7109375" customWidth="1"/>
  </cols>
  <sheetData>
    <row r="9" spans="1:4" x14ac:dyDescent="0.25">
      <c r="A9" t="s">
        <v>303</v>
      </c>
      <c r="B9" t="s">
        <v>326</v>
      </c>
      <c r="C9" t="s">
        <v>304</v>
      </c>
      <c r="D9" t="s">
        <v>47</v>
      </c>
    </row>
    <row r="10" spans="1:4" x14ac:dyDescent="0.25">
      <c r="A10">
        <v>5</v>
      </c>
      <c r="B10">
        <v>2.15</v>
      </c>
      <c r="C10">
        <v>2.0499999999999998</v>
      </c>
      <c r="D10" s="18">
        <f>C10/A10*1000</f>
        <v>410</v>
      </c>
    </row>
    <row r="11" spans="1:4" x14ac:dyDescent="0.25">
      <c r="A11">
        <v>10</v>
      </c>
      <c r="B11">
        <v>3.3</v>
      </c>
      <c r="C11">
        <v>3.52</v>
      </c>
      <c r="D11" s="18">
        <f t="shared" ref="D11:D19" si="0">C11/A11*1000</f>
        <v>352</v>
      </c>
    </row>
    <row r="12" spans="1:4" x14ac:dyDescent="0.25">
      <c r="A12">
        <v>20</v>
      </c>
      <c r="B12">
        <v>5.45</v>
      </c>
      <c r="C12">
        <v>6.05</v>
      </c>
      <c r="D12" s="18">
        <f t="shared" si="0"/>
        <v>302.5</v>
      </c>
    </row>
    <row r="13" spans="1:4" x14ac:dyDescent="0.25">
      <c r="A13">
        <v>30</v>
      </c>
      <c r="B13">
        <v>7.37</v>
      </c>
      <c r="C13">
        <v>8.35</v>
      </c>
      <c r="D13" s="18">
        <f t="shared" si="0"/>
        <v>278.33333333333331</v>
      </c>
    </row>
    <row r="14" spans="1:4" x14ac:dyDescent="0.25">
      <c r="A14">
        <v>40</v>
      </c>
      <c r="B14">
        <v>9.14</v>
      </c>
      <c r="C14">
        <v>10.47</v>
      </c>
      <c r="D14" s="18">
        <f t="shared" si="0"/>
        <v>261.75000000000006</v>
      </c>
    </row>
    <row r="15" spans="1:4" x14ac:dyDescent="0.25">
      <c r="A15">
        <v>50</v>
      </c>
      <c r="B15">
        <v>10.72</v>
      </c>
      <c r="C15">
        <v>12.33</v>
      </c>
      <c r="D15" s="18">
        <f t="shared" si="0"/>
        <v>246.60000000000002</v>
      </c>
    </row>
    <row r="16" spans="1:4" x14ac:dyDescent="0.25">
      <c r="A16">
        <v>60</v>
      </c>
      <c r="B16">
        <v>12.2</v>
      </c>
      <c r="C16">
        <v>14.08</v>
      </c>
      <c r="D16" s="18">
        <f t="shared" si="0"/>
        <v>234.66666666666666</v>
      </c>
    </row>
    <row r="17" spans="1:4" x14ac:dyDescent="0.25">
      <c r="A17">
        <v>70</v>
      </c>
      <c r="B17">
        <v>13.62</v>
      </c>
      <c r="C17">
        <v>15.7</v>
      </c>
      <c r="D17" s="18">
        <f t="shared" si="0"/>
        <v>224.28571428571428</v>
      </c>
    </row>
    <row r="18" spans="1:4" x14ac:dyDescent="0.25">
      <c r="A18">
        <v>150</v>
      </c>
      <c r="B18">
        <v>19</v>
      </c>
      <c r="C18">
        <v>24</v>
      </c>
      <c r="D18" s="18">
        <f t="shared" si="0"/>
        <v>160</v>
      </c>
    </row>
    <row r="19" spans="1:4" x14ac:dyDescent="0.25">
      <c r="A19">
        <v>250</v>
      </c>
      <c r="B19">
        <v>20</v>
      </c>
      <c r="C19">
        <v>26</v>
      </c>
      <c r="D19" s="18">
        <f t="shared" si="0"/>
        <v>104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
  <sheetViews>
    <sheetView workbookViewId="0">
      <selection activeCell="B5" sqref="B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11</vt:i4>
      </vt:variant>
    </vt:vector>
  </HeadingPairs>
  <TitlesOfParts>
    <vt:vector size="26" baseType="lpstr">
      <vt:lpstr>Forside</vt:lpstr>
      <vt:lpstr>Forsyningskjeder</vt:lpstr>
      <vt:lpstr>Grafer</vt:lpstr>
      <vt:lpstr>Termer og definisjoner</vt:lpstr>
      <vt:lpstr>Forutsetninger</vt:lpstr>
      <vt:lpstr>Hogst</vt:lpstr>
      <vt:lpstr>Bunting</vt:lpstr>
      <vt:lpstr>Terrengtransport</vt:lpstr>
      <vt:lpstr>Flishogging lunneplass</vt:lpstr>
      <vt:lpstr>Vegtrans1</vt:lpstr>
      <vt:lpstr>Flishogging terminal</vt:lpstr>
      <vt:lpstr>Vegtrans2</vt:lpstr>
      <vt:lpstr>Lager kostnader</vt:lpstr>
      <vt:lpstr>Ark2</vt:lpstr>
      <vt:lpstr>Ark3</vt:lpstr>
      <vt:lpstr>hogst</vt:lpstr>
      <vt:lpstr>L_Forutsetninger</vt:lpstr>
      <vt:lpstr>ProsessTerrengListe</vt:lpstr>
      <vt:lpstr>Termihoggere</vt:lpstr>
      <vt:lpstr>Terrengprosess</vt:lpstr>
      <vt:lpstr>Terrengtransport</vt:lpstr>
      <vt:lpstr>Vegkantlunne</vt:lpstr>
      <vt:lpstr>Vegtrans1</vt:lpstr>
      <vt:lpstr>Vegtrans2</vt:lpstr>
      <vt:lpstr>VKlunne2</vt:lpstr>
      <vt:lpstr>VT1_virkesform</vt:lpstr>
    </vt:vector>
  </TitlesOfParts>
  <Company>Norsk Institutt for Skog og Landskap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Helmer Belbo</dc:creator>
  <cp:lastModifiedBy>Helmer Belbo</cp:lastModifiedBy>
  <dcterms:created xsi:type="dcterms:W3CDTF">2012-06-19T05:20:28Z</dcterms:created>
  <dcterms:modified xsi:type="dcterms:W3CDTF">2015-04-30T05:54:55Z</dcterms:modified>
</cp:coreProperties>
</file>